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MIPG II\CONTRATOS MIPG  MUNICIPIOS\CONCEJO CARTAGO MIPG\P19 CONTROL INTERNO\"/>
    </mc:Choice>
  </mc:AlternateContent>
  <xr:revisionPtr revIDLastSave="0" documentId="13_ncr:1_{E4FA5A39-8BF3-4EBD-A799-FCC9BA45E858}" xr6:coauthVersionLast="47" xr6:coauthVersionMax="47" xr10:uidLastSave="{00000000-0000-0000-0000-000000000000}"/>
  <bookViews>
    <workbookView xWindow="0" yWindow="0" windowWidth="22968" windowHeight="1236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<sst xmlns="http://schemas.openxmlformats.org/spreadsheetml/2006/main" count="471" uniqueCount="202">
  <si>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</si>
  <si>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</si>
  <si>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</si>
  <si>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</si>
  <si>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</si>
  <si>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</si>
  <si>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</si>
  <si>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</si>
  <si>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</si>
  <si>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</si>
  <si>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</si>
  <si>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</si>
  <si>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</si>
  <si>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</si>
  <si>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</si>
  <si>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</si>
  <si>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</si>
  <si>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</si>
  <si>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</si>
  <si>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</si>
  <si>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</si>
  <si>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</si>
  <si>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</si>
  <si>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</si>
  <si>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</si>
  <si>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</si>
  <si>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</si>
  <si>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</si>
  <si>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</si>
  <si>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</si>
  <si>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</si>
  <si>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</si>
  <si>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</si>
  <si>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</si>
  <si>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</si>
  <si>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</si>
  <si>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</si>
  <si>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</si>
  <si>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</si>
  <si>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</si>
  <si>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</si>
  <si>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</si>
  <si>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</si>
  <si>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</si>
  <si>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</si>
  <si>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</si>
  <si>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</si>
  <si>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</si>
  <si>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</si>
  <si>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</si>
  <si>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</si>
  <si>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</si>
  <si>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</si>
  <si>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</si>
  <si>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</si>
  <si>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</si>
  <si>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</si>
  <si>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</si>
  <si>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</si>
  <si>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</si>
  <si>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</si>
  <si>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</si>
  <si>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</si>
  <si>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</si>
  <si>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</si>
  <si>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</si>
  <si>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</si>
  <si>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</si>
  <si>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</si>
  <si>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</si>
  <si>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</si>
  <si>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</si>
  <si>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</si>
  <si>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</si>
  <si>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</si>
  <si>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</si>
  <si>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</si>
  <si>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</si>
  <si>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</si>
  <si>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</si>
  <si>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</si>
  <si>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</si>
  <si>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</si>
  <si>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</si>
  <si>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</si>
  <si>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</si>
  <si>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</si>
  <si>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</si>
  <si>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</si>
  <si>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</si>
  <si>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</si>
  <si>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</si>
  <si>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</si>
  <si>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</si>
  <si>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</si>
  <si>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</si>
  <si>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</si>
  <si>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</si>
  <si>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</si>
  <si>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</si>
  <si>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</si>
  <si>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</si>
  <si>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</si>
  <si>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</si>
  <si>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</si>
  <si>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</si>
  <si>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</si>
  <si>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</si>
  <si>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</si>
  <si>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</si>
  <si>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</si>
  <si>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</si>
  <si>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</si>
  <si>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</si>
  <si>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</si>
  <si>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</si>
  <si>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</si>
  <si>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</si>
  <si>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</si>
  <si>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</si>
  <si>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</si>
  <si>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</si>
  <si>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</si>
  <si>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</si>
  <si>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</si>
  <si>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</si>
  <si>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</si>
  <si>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</si>
  <si>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</si>
  <si>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</si>
  <si>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</si>
  <si>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</si>
  <si>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</si>
  <si>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</si>
  <si>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</si>
  <si>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</si>
  <si>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</si>
  <si>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</si>
  <si>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</si>
  <si>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</si>
  <si>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</si>
  <si>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</si>
  <si>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</si>
  <si>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</si>
  <si>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</si>
  <si>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</si>
  <si>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</si>
  <si>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</si>
  <si>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</si>
  <si>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</si>
  <si>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</si>
  <si>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</si>
  <si>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</si>
  <si>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</si>
  <si>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</si>
  <si>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</si>
  <si>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</si>
  <si>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</si>
  <si>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</si>
  <si>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</si>
  <si>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</si>
  <si>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</si>
  <si>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</si>
  <si>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</si>
  <si>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</si>
  <si>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</si>
  <si>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</si>
  <si>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</si>
  <si>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</si>
  <si>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</si>
  <si>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</si>
  <si>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</si>
  <si>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</si>
  <si>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</si>
  <si>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</si>
  <si>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</si>
  <si>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</si>
  <si>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</si>
  <si>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</si>
  <si>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</si>
  <si>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</si>
  <si>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</si>
  <si>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</si>
  <si>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</si>
  <si>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</si>
  <si>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</si>
  <si>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</si>
  <si>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</si>
  <si>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</si>
  <si>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</si>
  <si>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</si>
  <si>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CONCEJO MUNICIPAL DE CARTAGO - VALLE DEL CAUCA</t>
  </si>
  <si>
    <t>PRIMER SEMESTRE DEL 2024</t>
  </si>
  <si>
    <t>No se tiene actualizado el Modelo Estandar de Control Interno en el Concejo Municipal de Cartago Valle.</t>
  </si>
  <si>
    <t>Para fortalecer el ambiente de control, se pueden considerar las siguientes acciones:
Reforzar la supervisión del cumplimiento del código de ética y mejorar su difusión entre todo el personal.
Actualizar y ampliar los programas de capacitación, asegurando que cubran las necesidades actuales y futuras del personal.
Adoptar un enfoque estratégico en la dirección, con una planificación proactiva y una comunicación interna efectiva.
Revisar y ajustar la estructura organizacional para garantizar flexibilidad y coordinación entre las areas organizacionales
Clarificar roles y responsabilidades, y empoderar al personal para tomar decisiones dentro de sus áreas de competencia.
Mejorar los procesos de selección y desarrollar sistemas efectivos de reconocimiento y motivación para el personal.
Implementar estas recomendaciones ayudará a abordar las debilidades y fortalecer las fortalezas del ambiente de control en el Concejo Municipal de Cartago, Valle del Cauca.</t>
  </si>
  <si>
    <t>Recomendaciones para Mejorar la Evaluación de Riesgos
Fomentar una Cultura de Gestión de Riesgos: Sensibilización y Capacitación: Implementar programas de sensibilización y capacitación sobre la importancia de la gestión de riesgos para todos los niveles de la organización.
Compromiso de la Alta Dirección: Asegurar el compromiso y apoyo de la alta dirección en la implementación de prácticas de gestión de riesgos.
Mejorar la Identificación de Riesgos: Métodos Eficaces: Adoptar métodos más eficaces y sistemáticos para la identificación de riesgos, como análisis FODA (Fortalezas, Oportunidades, Debilidades y Amenazas) y mapas de riesgos.
Participación Amplia: Involucrar a todas las áreas y niveles de la organización en el proceso de identificación de riesgos para obtener una visión más completa.
Fortalecer la Evaluación de Riesgos:
Criterios Claros: Establecer criterios claros y consistentes para evaluar la probabilidad e impacto de los riesgos.
Análisis Detallado: Realizar análisis detallados de los riesgos, considerando diferentes escenarios y posibles consecuencias.</t>
  </si>
  <si>
    <t>Desarrollar Políticas y Procedimientos Claros: Documentación Exhaustiva: Documentar detalladamente todas las políticas y procedimientos relacionados con las actividades de control.
Actualización Regular: Establecer un proceso regular para revisar y actualizar las políticas y procedimientos, asegurando su relevancia y aplicabilidad.
Mejorar la Implementación de Controles: Evaluación de Controles: Realizar evaluaciones periódicas de los controles existentes para asegurar que son adecuados y efectivos para mitigar los riesgos.
Estándares de Aplicación: Implementar estándares claros para la aplicación consistente de los controles en toda la organización.
Fortalecer el Monitoreo y Supervisión: Supervisión Activa: Establecer un sistema de supervisión activa para monitorear la efectividad de las actividades de control.
Auditorías Internas: Realizar auditorías internas regulares para identificar fallos en los controles y tomar medidas correctivas oportunas.
Capacitación y Conciencia: Programas de Capacitación: Desarrollar e implementar programas de capacitación continua para el personal sobre la importancia y ejecución de las actividades de control.
Campañas de Concienciación: Llevar a cabo campañas de concienciación para aumentar la comprensión y el compromiso del personal con las actividades de control.</t>
  </si>
  <si>
    <t>Mejorar la Calidad de la Información: Actualización Regular: Establecer un proceso para actualizar regularmente la información y asegurar su precisión y completitud.
Estandarización de Datos: Implementar estándares para la recopilación, almacenamiento y presentación de la información.
Optimizar la Eficiencia de la Comunicación: Mejora de Canales de Comunicación: Revisar y mejorar los canales de comunicación para asegurar una transmisión de información más rápida y eficiente.
Promover la Interactividad: Fomentar el uso de canales de comunicación interactivos que faciliten la retroalimentación y la colaboración.
Capacitación y Conciencia: Programas de Capacitación: Desarrollar programas de capacitación continua sobre la gestión de la información y la comunicación efectiva.
Campañas de Concienciación: Implementar campañas para aumentar la conciencia sobre la importancia de la información y la comunicación en la toma de decisiones.
Mejorar la Confidencialidad y Seguridad de la Información: Políticas de Seguridad: Desarrollar y aplicar políticas y procedimientos de seguridad de la información para proteger los datos sensibles.
Tecnología de Protección: Utilizar tecnología adecuada para garantizar la confidencialidad y seguridad de la información.
Documentación y Evidencia
Manuales y Procedimientos: Crear y mantener manuales y procedimientos actualizados para la gestión de la información y la comunicación.
Registros de Capacitación: Mantener registros detallados de las capacitaciones realizadas y los participantes.
Informes de Auditoría: Generar informes detallados de auditorías internas sobre la calidad y eficiencia de la información y la comunicación.
Comunicación
Informes a la Alta Dirección: Proporcionar informes regulares a la alta dirección sobre el estado de la información y la comunicación, las mejoras implementadas y los resultados obtenidos.
Transparencia con el Personal: Mantener una comunicación abierta y transparente con todo el personal sobre los cambios y mejoras en la gestión de la información y la comunicación.</t>
  </si>
  <si>
    <t>Recomendaciones para Mejorar las Actividades de Monitoreo
Establecer Procedimientos de Monitoreo Estandarizados: Documentación Exhaustiva: Documentar detalladamente los procedimientos de monitoreo y asegurar que se actualicen regularmente para reflejar cambios en las operaciones y en la normativa.
Protocolos Claros: Desarrollar protocolos claros para la ejecución de actividades de monitoreo, asegurando consistencia en su aplicación.
Fortalecer la Supervisión y el Seguimiento: Supervisión Activa: Implementar un sistema de supervisión activa que permita una revisión regular y detallada de las actividades y controles.
Seguimiento Continuo: Establecer un mecanismo de seguimiento continuo para detectar y corregir fallos en los controles de manera oportuna.
Capacitación y Desarrollo del Personal: Programas de Capacitación: Desarrollar programas de capacitación continua para el personal encargado del monitoreo, enfocándose en técnicas y herramientas específicas de monitoreo.
Competencias Específicas: Asegurar que el personal adquiera las competencias necesarias para realizar actividades de monitoreo de manera efectiva.
Implementar Tecnología y Herramientas de Monitoreo: Automatización de Controles: Utilizar herramientas tecnológicas para automatizar las actividades de monitoreo, mejorando la eficiencia y reduciendo el riesgo de error humano.
Integración de Sistemas: Asegurar que las herramientas tecnológicas utilizadas estén bien integradas con otros sistemas de la organización para mejorar el monitoreo y la gestión de controles.
Establecer un Sistema de Retroalimentación y Mejora Continua: Retroalimentación Regular: Implementar un sistema de retroalimentación regular para evaluar y mejorar continuamente las actividades de monitoreo.
Evaluaciones Periódicas: Realizar evaluaciones periódicas de la efectividad de las actividades de monitoreo y utilizar los resultados para identificar y abordar áreas de mejora.</t>
  </si>
  <si>
    <t>La integración de los componentes del Sistema de Control Interno del Concejo Municipal de Cartago está en proceso de desarrollo, con algunos componentes más avanzados que otros. Es fundamental implementar un enfoque coordinado y estratégico para asegurar que todos los componentes operen de manera conjunta y armónica. Las recomendaciones propuestas ayudarán a fortalecer la integración y mejorar la efectividad general del sistema de control interno.</t>
  </si>
  <si>
    <t>El sistema de control interno del Concejo Municipal de Cartago no es efectivo para lograr los objetivos evaluados debido a las siguientes razones:
Inconsistencias y Brechas en la Implementación: La falta de procedimientos estandarizados y la documentación insuficiente crean inconsistencias en la implementación de controles internos.
Gestión Inadecuada de Riesgos: Sin una evaluación de riesgos adecuada, la organización no puede anticipar y mitigar de manera proactiva las amenazas que enfrenta.
Débil Supervisión y Monitoreo: La falta de supervisión y monitoreo efectivo impide la identificación y corrección oportuna de deficiencias en los controles internos.
Información y Comunicación Deficientes: La falta de información precisa y la comunicación ineficaz dificultan la toma de decisiones informadas y la coordinación de actividades de control.
Capacitación y Conciencia Limitadas: El personal no está adecuadamente capacitado ni consciente de la importancia de los controles internos, lo que reduce la efectividad de las actividades de control y monitoreo.</t>
  </si>
  <si>
    <t>El análisis de la institucionalidad del sistema de control interno del Concejo Municipal de Cartago indica que la corporación no cuenta con una estructura de líneas de defensa que permita una toma de decisiones efectiva frente al control. A continuación, se detallan las razones que sustentan esta conclusión y las recomendaciones para mejorar esta situación:
Razones de la Falta de Institucionalidad y Líneas de Defensa
Falta de Definición de Roles y Responsabilidades:
Ambigüedad en las Funciones: No existe una clara definición de roles y responsabilidades dentro del sistema de control interno. Esto genera confusión y duplicidad de esfuerzos, afectando la capacidad de tomar decisiones informadas y efectivas.
Ausencia de Segregación de Funciones: La falta de segregación adecuada de funciones compromete la independencia y la objetividad en la evaluación y la gestión de los controles internos.
Debilidades en la Primera Línea de Defensa (Gestión Operativa):
Implementación Inconsistente: Los controles operativos no se implementan de manera consistente en todas las áreas de la organización. Esto debilita la capacidad de la primera línea de defensa para prevenir y detectar problemas.
Capacitación Insuficiente: El personal en la gestión operativa no recibe la capacitación adecuada para identificar y gestionar riesgos de manera efectiva.
Debilidades en la Segunda Línea de Defensa (Supervisión y Monitoreo):
Supervisión Limitada: Las actividades de supervisión y monitoreo no son suficientemente robustas para asegurar que los controles internos se implementen y funcionen adecuadamente.
Recursos Inadecuados: La falta de recursos dedicados a la supervisión y el monitoreo limita la efectividad de la segunda línea de defensa.
Ausencia de una Tercera Línea de Defensa (Auditoría Interna):
Falta de Auditoría Interna Independiente: No se cuenta con una función de auditoría interna independiente que evalúe de manera objetiva la efectividad del sistema de control interno y proporcione recomendaciones para su mejora.
Evaluación Periódica Insuficiente: La ausencia de evaluaciones periódicas independientes reduce la capacidad de la organización para identificar y corregir deficiencias de control de manera oportuna.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</si>
</sst>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0">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9"/>
      <name val="Arial"/>
      <family val="2"/>
    </font>
    <font>
      <sz val="9"/>
      <color theme="1"/>
      <name val="Calibri"/>
      <family val="2"/>
      <scheme val="minor"/>
    </font>
    <font>
      <sz val="11"/>
      <color theme="1"/>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14">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3" fillId="0" borderId="0" xfId="0" applyFont="1" applyAlignment="1">
      <alignment horizont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Border="1" applyAlignment="1" applyProtection="1">
      <alignment vertical="center" wrapText="1"/>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26" fillId="4" borderId="0" xfId="3" applyFont="1" applyFill="1"/>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58" fillId="0" borderId="24" xfId="0" applyFont="1" applyBorder="1" applyAlignment="1" applyProtection="1">
      <alignment horizontal="left" vertical="center" wrapText="1"/>
      <protection locked="0"/>
    </xf>
    <xf numFmtId="0" fontId="58" fillId="0" borderId="1" xfId="0" applyFont="1" applyBorder="1" applyAlignment="1" applyProtection="1">
      <alignment horizontal="left" vertical="center"/>
      <protection locked="0"/>
    </xf>
    <xf numFmtId="0" fontId="58" fillId="0" borderId="25" xfId="0" applyFont="1" applyBorder="1" applyAlignment="1" applyProtection="1">
      <alignment horizontal="left" vertical="center"/>
      <protection locked="0"/>
    </xf>
    <xf numFmtId="0" fontId="52" fillId="12" borderId="0" xfId="0" applyFont="1" applyFill="1" applyAlignment="1">
      <alignment horizontal="center" vertical="center" wrapText="1"/>
    </xf>
    <xf numFmtId="0" fontId="57" fillId="0" borderId="24" xfId="0" applyFont="1" applyBorder="1" applyAlignment="1" applyProtection="1">
      <alignment horizontal="left" vertical="center" wrapText="1"/>
      <protection locked="0"/>
    </xf>
    <xf numFmtId="0" fontId="57" fillId="0" borderId="1" xfId="0" applyFont="1" applyBorder="1" applyAlignment="1" applyProtection="1">
      <alignment horizontal="left" vertical="center"/>
      <protection locked="0"/>
    </xf>
    <xf numFmtId="0" fontId="57" fillId="0" borderId="25" xfId="0" applyFont="1" applyBorder="1" applyAlignment="1" applyProtection="1">
      <alignment horizontal="left" vertical="center"/>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9" fillId="4" borderId="2" xfId="0" applyNumberFormat="1" applyFont="1" applyFill="1" applyBorder="1" applyAlignment="1" applyProtection="1">
      <alignment horizontal="left" vertical="center" wrapText="1"/>
      <protection locked="0"/>
    </xf>
    <xf numFmtId="49" fontId="59" fillId="4" borderId="84" xfId="0" applyNumberFormat="1" applyFont="1" applyFill="1" applyBorder="1" applyAlignment="1" applyProtection="1">
      <alignment horizontal="left" vertical="center"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11" zoomScale="90" zoomScaleNormal="90" workbookViewId="0">
      <selection activeCell="B2" sqref="B2:H2"/>
    </sheetView>
  </sheetViews>
  <sheetFormatPr baseColWidth="10" defaultColWidth="0" defaultRowHeight="13.8" zeroHeight="1"/>
  <cols>
    <col min="1" max="1" width="3.88671875" style="42" customWidth="1"/>
    <col min="2" max="2" width="15.33203125" style="42" customWidth="1"/>
    <col min="3" max="3" width="17.33203125" style="42" customWidth="1"/>
    <col min="4" max="4" width="28.5546875" style="42" customWidth="1"/>
    <col min="5" max="5" width="12.88671875" style="42" customWidth="1"/>
    <col min="6" max="6" width="47.109375" style="42" customWidth="1"/>
    <col min="7" max="7" width="21.44140625" style="42" customWidth="1"/>
    <col min="8" max="8" width="6.5546875" style="42" customWidth="1"/>
    <col min="9" max="9" width="2.5546875" style="42" customWidth="1"/>
    <col min="10" max="16384" width="11.44140625" style="42" hidden="1"/>
  </cols>
  <sheetData>
    <row r="1" spans="2:8" ht="14.4" thickBot="1"/>
    <row r="2" spans="2:8" ht="73.5" customHeight="1">
      <c r="B2" s="185" t="s">
        <v>0</v>
      </c>
      <c r="C2" s="186"/>
      <c r="D2" s="186"/>
      <c r="E2" s="186"/>
      <c r="F2" s="186"/>
      <c r="G2" s="186"/>
      <c r="H2" s="187"/>
    </row>
    <row r="3" spans="2:8" ht="65.25" customHeight="1">
      <c r="B3" s="188" t="s">
        <v>1</v>
      </c>
      <c r="C3" s="189"/>
      <c r="D3" s="189"/>
      <c r="E3" s="189"/>
      <c r="F3" s="189"/>
      <c r="G3" s="189"/>
      <c r="H3" s="190"/>
    </row>
    <row r="4" spans="2:8" ht="82.5" customHeight="1">
      <c r="B4" s="188"/>
      <c r="C4" s="189"/>
      <c r="D4" s="189"/>
      <c r="E4" s="189"/>
      <c r="F4" s="189"/>
      <c r="G4" s="189"/>
      <c r="H4" s="190"/>
    </row>
    <row r="5" spans="2:8" ht="21.75" customHeight="1">
      <c r="B5" s="191" t="s">
        <v>2</v>
      </c>
      <c r="C5" s="192"/>
      <c r="D5" s="192"/>
      <c r="E5" s="192"/>
      <c r="F5" s="192"/>
      <c r="G5" s="192"/>
      <c r="H5" s="193"/>
    </row>
    <row r="6" spans="2:8" ht="42" customHeight="1">
      <c r="B6" s="194" t="s">
        <v>3</v>
      </c>
      <c r="C6" s="195"/>
      <c r="D6" s="195"/>
      <c r="E6" s="195"/>
      <c r="F6" s="195"/>
      <c r="G6" s="195"/>
      <c r="H6" s="196"/>
    </row>
    <row r="7" spans="2:8" ht="14.25" customHeight="1">
      <c r="B7" s="194"/>
      <c r="C7" s="195"/>
      <c r="D7" s="195"/>
      <c r="E7" s="195"/>
      <c r="F7" s="195"/>
      <c r="G7" s="195"/>
      <c r="H7" s="196"/>
    </row>
    <row r="8" spans="2:8" ht="12.75" customHeight="1" thickBot="1">
      <c r="B8" s="54"/>
      <c r="C8" s="48"/>
      <c r="D8" s="63"/>
      <c r="E8" s="64"/>
      <c r="F8" s="64"/>
      <c r="G8" s="62"/>
      <c r="H8" s="56"/>
    </row>
    <row r="9" spans="2:8" ht="21" customHeight="1" thickTop="1">
      <c r="B9" s="54"/>
      <c r="C9" s="197" t="s">
        <v>4</v>
      </c>
      <c r="D9" s="198"/>
      <c r="E9" s="199" t="s">
        <v>5</v>
      </c>
      <c r="F9" s="200"/>
      <c r="G9" s="48"/>
      <c r="H9" s="56"/>
    </row>
    <row r="10" spans="2:8" ht="37.5" customHeight="1">
      <c r="B10" s="54"/>
      <c r="C10" s="177" t="s">
        <v>6</v>
      </c>
      <c r="D10" s="178"/>
      <c r="E10" s="179" t="s">
        <v>7</v>
      </c>
      <c r="F10" s="180"/>
      <c r="G10" s="48"/>
      <c r="H10" s="56"/>
    </row>
    <row r="11" spans="2:8" ht="39.75" customHeight="1">
      <c r="B11" s="54"/>
      <c r="C11" s="181" t="s">
        <v>8</v>
      </c>
      <c r="D11" s="182"/>
      <c r="E11" s="158" t="s">
        <v>9</v>
      </c>
      <c r="F11" s="159"/>
      <c r="G11" s="48"/>
      <c r="H11" s="56"/>
    </row>
    <row r="12" spans="2:8" ht="59.25" customHeight="1">
      <c r="B12" s="54"/>
      <c r="C12" s="181" t="s">
        <v>10</v>
      </c>
      <c r="D12" s="182"/>
      <c r="E12" s="183" t="s">
        <v>11</v>
      </c>
      <c r="F12" s="184"/>
      <c r="G12" s="48"/>
      <c r="H12" s="56"/>
    </row>
    <row r="13" spans="2:8" ht="33.75" customHeight="1">
      <c r="B13" s="54"/>
      <c r="C13" s="156" t="s">
        <v>12</v>
      </c>
      <c r="D13" s="157"/>
      <c r="E13" s="158" t="s">
        <v>13</v>
      </c>
      <c r="F13" s="159"/>
      <c r="G13" s="48"/>
      <c r="H13" s="56"/>
    </row>
    <row r="14" spans="2:8" ht="19.5" customHeight="1">
      <c r="B14" s="54"/>
      <c r="C14" s="60"/>
      <c r="D14" s="60"/>
      <c r="E14" s="61"/>
      <c r="F14" s="61"/>
      <c r="G14" s="48"/>
      <c r="H14" s="56"/>
    </row>
    <row r="15" spans="2:8" ht="37.5" customHeight="1" thickBot="1">
      <c r="B15" s="152" t="s">
        <v>14</v>
      </c>
      <c r="C15" s="153"/>
      <c r="D15" s="153"/>
      <c r="E15" s="153"/>
      <c r="F15" s="153"/>
      <c r="G15" s="153"/>
      <c r="H15" s="154"/>
    </row>
    <row r="16" spans="2:8" ht="27.75" customHeight="1" thickBot="1">
      <c r="B16" s="54"/>
      <c r="C16" s="160" t="s">
        <v>15</v>
      </c>
      <c r="D16" s="161"/>
      <c r="E16" s="161" t="s">
        <v>16</v>
      </c>
      <c r="F16" s="172"/>
      <c r="G16" s="48"/>
      <c r="H16" s="56"/>
    </row>
    <row r="17" spans="2:8" ht="27.75" customHeight="1">
      <c r="B17" s="54"/>
      <c r="C17" s="173" t="s">
        <v>17</v>
      </c>
      <c r="D17" s="174"/>
      <c r="E17" s="175" t="s">
        <v>18</v>
      </c>
      <c r="F17" s="176"/>
      <c r="G17" s="93"/>
      <c r="H17" s="56"/>
    </row>
    <row r="18" spans="2:8" ht="41.25" customHeight="1">
      <c r="B18" s="54"/>
      <c r="C18" s="162" t="s">
        <v>19</v>
      </c>
      <c r="D18" s="163"/>
      <c r="E18" s="164" t="s">
        <v>20</v>
      </c>
      <c r="F18" s="165"/>
      <c r="G18" s="94"/>
      <c r="H18" s="56"/>
    </row>
    <row r="19" spans="2:8" ht="37.5" customHeight="1" thickBot="1">
      <c r="B19" s="54"/>
      <c r="C19" s="166" t="s">
        <v>21</v>
      </c>
      <c r="D19" s="167"/>
      <c r="E19" s="168" t="s">
        <v>22</v>
      </c>
      <c r="F19" s="169"/>
      <c r="G19" s="94"/>
      <c r="H19" s="56"/>
    </row>
    <row r="20" spans="2:8" ht="11.25" customHeight="1">
      <c r="B20" s="49"/>
      <c r="C20" s="50"/>
      <c r="D20" s="50"/>
      <c r="E20" s="50"/>
      <c r="F20" s="50"/>
      <c r="G20" s="50"/>
      <c r="H20" s="51"/>
    </row>
    <row r="21" spans="2:8" ht="14.25" customHeight="1">
      <c r="B21" s="52"/>
      <c r="C21" s="170"/>
      <c r="D21" s="170"/>
      <c r="E21" s="171"/>
      <c r="F21" s="171"/>
      <c r="G21" s="171"/>
      <c r="H21" s="53"/>
    </row>
    <row r="22" spans="2:8" ht="36" customHeight="1">
      <c r="B22" s="152" t="s">
        <v>23</v>
      </c>
      <c r="C22" s="153"/>
      <c r="D22" s="153"/>
      <c r="E22" s="153"/>
      <c r="F22" s="153"/>
      <c r="G22" s="153"/>
      <c r="H22" s="154"/>
    </row>
    <row r="23" spans="2:8">
      <c r="B23" s="54"/>
      <c r="C23" s="55"/>
      <c r="D23" s="55"/>
      <c r="E23" s="155"/>
      <c r="F23" s="155"/>
      <c r="G23" s="48"/>
      <c r="H23" s="56"/>
    </row>
    <row r="24" spans="2:8" ht="14.4" thickBot="1">
      <c r="B24" s="57"/>
      <c r="C24" s="58"/>
      <c r="D24" s="58"/>
      <c r="E24" s="58"/>
      <c r="F24" s="58"/>
      <c r="G24" s="58"/>
      <c r="H24" s="59"/>
    </row>
    <row r="25" spans="2:8"/>
    <row r="26" spans="2:8" ht="29.25" customHeight="1"/>
    <row r="27" spans="2:8" ht="26.25" customHeight="1"/>
    <row r="28" spans="2:8" ht="43.5" customHeight="1"/>
    <row r="29" spans="2:8" ht="53.25" customHeight="1"/>
    <row r="30" spans="2:8"/>
    <row r="31" spans="2:8"/>
    <row r="32" spans="2:8"/>
    <row r="33"/>
    <row r="34"/>
    <row r="35"/>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row r="52"/>
    <row r="54"/>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D1" zoomScale="80" zoomScaleNormal="80" workbookViewId="0">
      <selection activeCell="L44" sqref="L44"/>
    </sheetView>
  </sheetViews>
  <sheetFormatPr baseColWidth="10" defaultColWidth="11.44140625" defaultRowHeight="13.8"/>
  <cols>
    <col min="1" max="1" width="3" style="44" hidden="1" customWidth="1"/>
    <col min="2" max="2" width="9.44140625" style="44" customWidth="1"/>
    <col min="3" max="3" width="25.5546875" style="44" customWidth="1"/>
    <col min="4" max="4" width="46.5546875" style="44" customWidth="1"/>
    <col min="5" max="5" width="10.109375" style="66" customWidth="1"/>
    <col min="6" max="6" width="44.5546875" style="66" customWidth="1"/>
    <col min="7" max="7" width="15.44140625" style="44" customWidth="1"/>
    <col min="8" max="9" width="43" style="44" customWidth="1"/>
    <col min="10" max="12" width="11.44140625" style="69" customWidth="1"/>
    <col min="13" max="24" width="11.44140625" style="44" customWidth="1"/>
    <col min="25" max="16384" width="11.44140625" style="44"/>
  </cols>
  <sheetData>
    <row r="1" spans="1:32">
      <c r="B1" s="43"/>
      <c r="C1" s="43"/>
      <c r="D1" s="43"/>
      <c r="E1" s="65"/>
      <c r="F1" s="65"/>
      <c r="G1" s="43"/>
      <c r="H1" s="43"/>
      <c r="I1" s="43"/>
      <c r="J1" s="67"/>
      <c r="K1" s="67"/>
      <c r="L1" s="67"/>
      <c r="M1" s="43"/>
      <c r="N1" s="43"/>
      <c r="O1" s="43"/>
      <c r="P1" s="43"/>
      <c r="Q1" s="43"/>
      <c r="R1" s="43"/>
      <c r="S1" s="43"/>
      <c r="T1" s="43"/>
      <c r="U1" s="43"/>
      <c r="V1" s="43"/>
      <c r="W1" s="43"/>
      <c r="X1" s="43"/>
    </row>
    <row r="2" spans="1:32">
      <c r="B2" s="43"/>
      <c r="C2" s="43"/>
      <c r="D2" s="43"/>
      <c r="E2" s="65"/>
      <c r="F2" s="65"/>
      <c r="G2" s="43"/>
      <c r="H2" s="43"/>
      <c r="I2" s="43"/>
      <c r="J2" s="67"/>
      <c r="K2" s="67"/>
      <c r="L2" s="67"/>
      <c r="M2" s="43"/>
      <c r="N2" s="43"/>
      <c r="O2" s="43"/>
      <c r="P2" s="43"/>
      <c r="Q2" s="43"/>
      <c r="R2" s="43"/>
      <c r="S2" s="43"/>
      <c r="T2" s="43"/>
      <c r="U2" s="43"/>
      <c r="V2" s="43"/>
      <c r="W2" s="43"/>
      <c r="X2" s="43"/>
    </row>
    <row r="3" spans="1:32">
      <c r="B3" s="43"/>
      <c r="C3" s="43"/>
      <c r="D3" s="43"/>
      <c r="E3" s="65"/>
      <c r="F3" s="65"/>
      <c r="G3" s="43"/>
      <c r="H3" s="43"/>
      <c r="I3" s="43"/>
      <c r="J3" s="67"/>
      <c r="K3" s="67"/>
      <c r="L3" s="67"/>
      <c r="M3" s="43"/>
      <c r="N3" s="43"/>
      <c r="O3" s="43"/>
      <c r="P3" s="43"/>
      <c r="Q3" s="43"/>
      <c r="R3" s="43"/>
      <c r="S3" s="43"/>
      <c r="T3" s="43"/>
      <c r="U3" s="43"/>
      <c r="V3" s="43"/>
      <c r="W3" s="43"/>
      <c r="X3" s="43"/>
    </row>
    <row r="4" spans="1:32">
      <c r="B4" s="43"/>
      <c r="C4" s="43"/>
      <c r="D4" s="43"/>
      <c r="E4" s="65"/>
      <c r="F4" s="65"/>
      <c r="G4" s="43"/>
      <c r="H4" s="43"/>
      <c r="I4" s="43"/>
      <c r="J4" s="67"/>
      <c r="K4" s="67"/>
      <c r="L4" s="67"/>
      <c r="M4" s="43"/>
      <c r="N4" s="43"/>
      <c r="O4" s="43"/>
      <c r="P4" s="43"/>
      <c r="Q4" s="43"/>
      <c r="R4" s="43"/>
      <c r="S4" s="43"/>
      <c r="T4" s="43"/>
      <c r="U4" s="43"/>
      <c r="V4" s="43"/>
      <c r="W4" s="43"/>
      <c r="X4" s="43"/>
    </row>
    <row r="5" spans="1:32">
      <c r="B5" s="43"/>
      <c r="C5" s="43"/>
      <c r="D5" s="43"/>
      <c r="E5" s="65"/>
      <c r="F5" s="65"/>
      <c r="G5" s="43"/>
      <c r="H5" s="43"/>
      <c r="I5" s="43"/>
      <c r="J5" s="67"/>
      <c r="K5" s="67"/>
      <c r="L5" s="67"/>
      <c r="M5" s="43"/>
      <c r="N5" s="43"/>
      <c r="O5" s="43"/>
      <c r="P5" s="43"/>
      <c r="Q5" s="43"/>
      <c r="R5" s="43"/>
      <c r="S5" s="43"/>
      <c r="T5" s="43"/>
      <c r="U5" s="43"/>
      <c r="V5" s="43"/>
      <c r="W5" s="43"/>
      <c r="X5" s="43"/>
    </row>
    <row r="6" spans="1:32">
      <c r="B6" s="43"/>
      <c r="C6" s="43"/>
      <c r="D6" s="43"/>
      <c r="E6" s="65"/>
      <c r="F6" s="65"/>
      <c r="G6" s="43"/>
      <c r="H6" s="43"/>
      <c r="I6" s="43"/>
      <c r="J6" s="67"/>
      <c r="K6" s="67"/>
      <c r="L6" s="67"/>
      <c r="M6" s="43"/>
      <c r="N6" s="43"/>
      <c r="O6" s="43"/>
      <c r="P6" s="43"/>
      <c r="Q6" s="43"/>
      <c r="R6" s="43"/>
      <c r="S6" s="43"/>
      <c r="T6" s="43"/>
      <c r="U6" s="43"/>
      <c r="V6" s="43"/>
      <c r="W6" s="43"/>
      <c r="X6" s="43"/>
    </row>
    <row r="7" spans="1:32">
      <c r="B7" s="43"/>
      <c r="C7" s="43"/>
      <c r="D7" s="43"/>
      <c r="E7" s="65"/>
      <c r="F7" s="65"/>
      <c r="G7" s="43"/>
      <c r="H7" s="43"/>
      <c r="I7" s="43"/>
      <c r="J7" s="67"/>
      <c r="K7" s="67"/>
      <c r="L7" s="67"/>
      <c r="M7" s="43"/>
      <c r="N7" s="43"/>
      <c r="O7" s="43"/>
      <c r="P7" s="43"/>
      <c r="Q7" s="43"/>
      <c r="R7" s="43"/>
      <c r="S7" s="43"/>
      <c r="T7" s="43"/>
      <c r="U7" s="43"/>
      <c r="V7" s="43"/>
      <c r="W7" s="43"/>
      <c r="X7" s="43"/>
    </row>
    <row r="8" spans="1:32">
      <c r="B8" s="43"/>
      <c r="C8" s="43"/>
      <c r="D8" s="43"/>
      <c r="E8" s="65"/>
      <c r="F8" s="65"/>
      <c r="G8" s="43"/>
      <c r="H8" s="43"/>
      <c r="I8" s="43"/>
      <c r="J8" s="67"/>
      <c r="K8" s="67"/>
      <c r="L8" s="67"/>
      <c r="M8" s="43"/>
      <c r="N8" s="43"/>
      <c r="O8" s="43"/>
      <c r="P8" s="43"/>
      <c r="Q8" s="43"/>
      <c r="R8" s="43"/>
      <c r="S8" s="43"/>
      <c r="T8" s="43"/>
      <c r="U8" s="43"/>
      <c r="V8" s="43"/>
      <c r="W8" s="43"/>
      <c r="X8" s="43"/>
    </row>
    <row r="9" spans="1:32">
      <c r="B9" s="43"/>
      <c r="C9" s="43"/>
      <c r="D9" s="43"/>
      <c r="E9" s="65"/>
      <c r="F9" s="65"/>
      <c r="G9" s="43"/>
      <c r="H9" s="43"/>
      <c r="I9" s="43"/>
      <c r="J9" s="67"/>
      <c r="K9" s="67"/>
      <c r="L9" s="67"/>
      <c r="M9" s="43"/>
      <c r="N9" s="43"/>
      <c r="O9" s="43"/>
      <c r="P9" s="43"/>
      <c r="Q9" s="43"/>
      <c r="R9" s="43"/>
      <c r="S9" s="43"/>
      <c r="T9" s="43"/>
      <c r="U9" s="43"/>
      <c r="V9" s="43"/>
      <c r="W9" s="43"/>
      <c r="X9" s="43"/>
    </row>
    <row r="10" spans="1:32">
      <c r="B10" s="43"/>
      <c r="C10" s="43"/>
      <c r="D10" s="43"/>
      <c r="E10" s="65"/>
      <c r="F10" s="65"/>
      <c r="G10" s="43"/>
      <c r="H10" s="43"/>
      <c r="I10" s="43"/>
      <c r="J10" s="67"/>
      <c r="K10" s="67"/>
      <c r="L10" s="67"/>
      <c r="M10" s="43"/>
      <c r="N10" s="43"/>
      <c r="O10" s="43"/>
      <c r="P10" s="43"/>
      <c r="Q10" s="43"/>
      <c r="R10" s="43"/>
      <c r="S10" s="43"/>
      <c r="T10" s="43"/>
      <c r="U10" s="43"/>
      <c r="V10" s="43"/>
      <c r="W10" s="43"/>
      <c r="X10" s="43"/>
    </row>
    <row r="11" spans="1:32">
      <c r="B11" s="43"/>
      <c r="C11" s="43"/>
      <c r="D11" s="43"/>
      <c r="E11" s="65"/>
      <c r="F11" s="65"/>
      <c r="G11" s="43"/>
      <c r="H11" s="43"/>
      <c r="I11" s="43"/>
      <c r="J11" s="67"/>
      <c r="K11" s="67"/>
      <c r="L11" s="67"/>
      <c r="M11" s="43"/>
      <c r="N11" s="43"/>
      <c r="O11" s="43"/>
      <c r="P11" s="43"/>
      <c r="Q11" s="43"/>
      <c r="R11" s="43"/>
      <c r="S11" s="43"/>
      <c r="T11" s="43"/>
      <c r="U11" s="43"/>
      <c r="V11" s="43"/>
      <c r="W11" s="43"/>
      <c r="X11" s="43"/>
    </row>
    <row r="12" spans="1:32">
      <c r="B12" s="43"/>
      <c r="C12" s="43"/>
      <c r="D12" s="43"/>
      <c r="E12" s="65"/>
      <c r="F12" s="65"/>
      <c r="G12" s="43"/>
      <c r="H12" s="43"/>
      <c r="I12" s="43"/>
      <c r="J12" s="67"/>
      <c r="K12" s="67"/>
      <c r="L12" s="67"/>
      <c r="M12" s="43"/>
      <c r="N12" s="43"/>
      <c r="O12" s="43"/>
      <c r="P12" s="43"/>
      <c r="Q12" s="43"/>
      <c r="R12" s="43"/>
      <c r="S12" s="43"/>
      <c r="T12" s="43"/>
      <c r="U12" s="43"/>
      <c r="V12" s="43"/>
      <c r="W12" s="43"/>
      <c r="X12" s="43"/>
    </row>
    <row r="13" spans="1:32">
      <c r="B13" s="43"/>
      <c r="C13" s="43"/>
      <c r="D13" s="43"/>
      <c r="E13" s="65"/>
      <c r="F13" s="65"/>
      <c r="G13" s="43"/>
      <c r="H13" s="43"/>
      <c r="I13" s="43"/>
      <c r="J13" s="67"/>
      <c r="K13" s="67"/>
      <c r="L13" s="67"/>
      <c r="M13" s="43"/>
      <c r="N13" s="43"/>
      <c r="O13" s="43"/>
      <c r="P13" s="43"/>
      <c r="Q13" s="43"/>
      <c r="R13" s="43"/>
      <c r="S13" s="43"/>
      <c r="T13" s="43"/>
      <c r="U13" s="43"/>
      <c r="V13" s="43"/>
      <c r="W13" s="43"/>
      <c r="X13" s="43"/>
    </row>
    <row r="14" spans="1:32" s="46" customFormat="1" ht="49.5" customHeight="1">
      <c r="B14" s="201" t="s">
        <v>24</v>
      </c>
      <c r="C14" s="201"/>
      <c r="D14" s="201"/>
      <c r="E14" s="201"/>
      <c r="F14" s="201"/>
      <c r="G14" s="201"/>
      <c r="H14" s="201"/>
      <c r="I14" s="201"/>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c r="B15" s="71" t="s">
        <v>25</v>
      </c>
      <c r="C15" s="71" t="s">
        <v>6</v>
      </c>
      <c r="D15" s="72" t="s">
        <v>8</v>
      </c>
      <c r="E15" s="73" t="s">
        <v>26</v>
      </c>
      <c r="F15" s="73" t="s">
        <v>27</v>
      </c>
      <c r="G15" s="73" t="s">
        <v>28</v>
      </c>
      <c r="H15" s="74"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c r="A16" s="95" t="str">
        <f>1&amp;E16</f>
        <v>1a</v>
      </c>
      <c r="B16" s="217" t="s">
        <v>31</v>
      </c>
      <c r="C16" s="227" t="s">
        <v>32</v>
      </c>
      <c r="D16" s="214" t="s">
        <v>33</v>
      </c>
      <c r="E16" s="75" t="s">
        <v>34</v>
      </c>
      <c r="F16" s="76" t="s">
        <v>35</v>
      </c>
      <c r="G16" s="103" t="s">
        <v>36</v>
      </c>
      <c r="H16" s="104" t="s">
        <v>193</v>
      </c>
      <c r="I16" s="96" t="str">
        <f>+IF(G16="Si","Mantenimiento del control",IF(G16="En proceso","Oportunidad de mejora","Deficiencia de control"))</f>
        <v>Deficiencia de control</v>
      </c>
      <c r="J16" s="97">
        <f t="shared" ref="J16:J27" si="0">+IF(G16="Si",20,IF(G16="En proceso",10,0))</f>
        <v>0</v>
      </c>
      <c r="K16" s="97">
        <v>0.123</v>
      </c>
      <c r="L16" s="97">
        <f>+J16+K16</f>
        <v>0.123</v>
      </c>
    </row>
    <row r="17" spans="1:32" s="46" customFormat="1" ht="62.4">
      <c r="A17" s="95" t="str">
        <f t="shared" ref="A17:A27" si="1">1&amp;E17</f>
        <v>1b</v>
      </c>
      <c r="B17" s="218"/>
      <c r="C17" s="228"/>
      <c r="D17" s="215"/>
      <c r="E17" s="77" t="s">
        <v>37</v>
      </c>
      <c r="F17" s="78" t="s">
        <v>38</v>
      </c>
      <c r="G17" s="105" t="s">
        <v>39</v>
      </c>
      <c r="H17" s="106"/>
      <c r="I17" s="98" t="str">
        <f t="shared" ref="I17:I59" si="2">+IF(G17="Si","Mantenimiento del control",IF(G17="En proceso","Oportunidad de mejora","Deficiencia de control"))</f>
        <v>Mantenimiento del control</v>
      </c>
      <c r="J17" s="99">
        <f t="shared" si="0"/>
        <v>20</v>
      </c>
      <c r="K17" s="97">
        <v>0.1234</v>
      </c>
      <c r="L17" s="97">
        <f t="shared" ref="L17:L59" si="3">+J17+K17</f>
        <v>20.1234</v>
      </c>
    </row>
    <row r="18" spans="1:32" s="46" customFormat="1" ht="64.5" customHeight="1">
      <c r="A18" s="95" t="str">
        <f t="shared" si="1"/>
        <v>1c</v>
      </c>
      <c r="B18" s="218"/>
      <c r="C18" s="228"/>
      <c r="D18" s="215"/>
      <c r="E18" s="77" t="s">
        <v>40</v>
      </c>
      <c r="F18" s="79" t="s">
        <v>41</v>
      </c>
      <c r="G18" s="105" t="s">
        <v>36</v>
      </c>
      <c r="H18" s="107"/>
      <c r="I18" s="100" t="str">
        <f t="shared" si="2"/>
        <v>Deficiencia de control</v>
      </c>
      <c r="J18" s="99">
        <f t="shared" si="0"/>
        <v>0</v>
      </c>
      <c r="K18" s="97">
        <v>0.12345</v>
      </c>
      <c r="L18" s="97">
        <f t="shared" si="3"/>
        <v>0.12345</v>
      </c>
    </row>
    <row r="19" spans="1:32" s="46" customFormat="1" ht="37.5" customHeight="1">
      <c r="A19" s="95" t="str">
        <f t="shared" si="1"/>
        <v>1d</v>
      </c>
      <c r="B19" s="218"/>
      <c r="C19" s="228"/>
      <c r="D19" s="215"/>
      <c r="E19" s="77" t="s">
        <v>42</v>
      </c>
      <c r="F19" s="79" t="s">
        <v>43</v>
      </c>
      <c r="G19" s="105" t="s">
        <v>76</v>
      </c>
      <c r="H19" s="107"/>
      <c r="I19" s="100" t="str">
        <f t="shared" si="2"/>
        <v>Oportunidad de mejora</v>
      </c>
      <c r="J19" s="99">
        <f t="shared" si="0"/>
        <v>10</v>
      </c>
      <c r="K19" s="97">
        <v>0.123456</v>
      </c>
      <c r="L19" s="97">
        <f t="shared" si="3"/>
        <v>10.123455999999999</v>
      </c>
    </row>
    <row r="20" spans="1:32" s="46" customFormat="1" ht="37.5" customHeight="1">
      <c r="A20" s="95" t="str">
        <f t="shared" si="1"/>
        <v>1e</v>
      </c>
      <c r="B20" s="218"/>
      <c r="C20" s="228"/>
      <c r="D20" s="215"/>
      <c r="E20" s="77" t="s">
        <v>44</v>
      </c>
      <c r="F20" s="79" t="s">
        <v>45</v>
      </c>
      <c r="G20" s="105" t="s">
        <v>39</v>
      </c>
      <c r="H20" s="107"/>
      <c r="I20" s="100" t="str">
        <f t="shared" si="2"/>
        <v>Mantenimiento del control</v>
      </c>
      <c r="J20" s="99">
        <f t="shared" si="0"/>
        <v>20</v>
      </c>
      <c r="K20" s="97">
        <v>0.12345678</v>
      </c>
      <c r="L20" s="97">
        <f t="shared" si="3"/>
        <v>20.123456780000001</v>
      </c>
    </row>
    <row r="21" spans="1:32" s="46" customFormat="1" ht="63.75" customHeight="1">
      <c r="A21" s="95" t="str">
        <f t="shared" si="1"/>
        <v>1f</v>
      </c>
      <c r="B21" s="218"/>
      <c r="C21" s="228"/>
      <c r="D21" s="215"/>
      <c r="E21" s="77" t="s">
        <v>46</v>
      </c>
      <c r="F21" s="79" t="s">
        <v>47</v>
      </c>
      <c r="G21" s="105" t="s">
        <v>76</v>
      </c>
      <c r="H21" s="107"/>
      <c r="I21" s="100" t="str">
        <f t="shared" si="2"/>
        <v>Oportunidad de mejora</v>
      </c>
      <c r="J21" s="99">
        <f t="shared" si="0"/>
        <v>10</v>
      </c>
      <c r="K21" s="97">
        <v>0.123456789</v>
      </c>
      <c r="L21" s="97">
        <f t="shared" si="3"/>
        <v>10.123456789</v>
      </c>
    </row>
    <row r="22" spans="1:32" s="46" customFormat="1" ht="65.25" customHeight="1">
      <c r="A22" s="95" t="str">
        <f t="shared" si="1"/>
        <v>1g</v>
      </c>
      <c r="B22" s="218"/>
      <c r="C22" s="228"/>
      <c r="D22" s="215"/>
      <c r="E22" s="77" t="s">
        <v>48</v>
      </c>
      <c r="F22" s="79" t="s">
        <v>49</v>
      </c>
      <c r="G22" s="105" t="s">
        <v>76</v>
      </c>
      <c r="H22" s="107"/>
      <c r="I22" s="100" t="str">
        <f t="shared" si="2"/>
        <v>Oportunidad de mejora</v>
      </c>
      <c r="J22" s="99">
        <f t="shared" si="0"/>
        <v>10</v>
      </c>
      <c r="K22" s="97">
        <v>0.12345678910000001</v>
      </c>
      <c r="L22" s="97">
        <f t="shared" si="3"/>
        <v>10.1234567891</v>
      </c>
    </row>
    <row r="23" spans="1:32" s="46" customFormat="1" ht="62.25" customHeight="1">
      <c r="A23" s="95" t="str">
        <f t="shared" si="1"/>
        <v>1h</v>
      </c>
      <c r="B23" s="218"/>
      <c r="C23" s="228"/>
      <c r="D23" s="215"/>
      <c r="E23" s="77" t="s">
        <v>50</v>
      </c>
      <c r="F23" s="79" t="s">
        <v>51</v>
      </c>
      <c r="G23" s="105" t="s">
        <v>76</v>
      </c>
      <c r="H23" s="107"/>
      <c r="I23" s="100" t="str">
        <f t="shared" si="2"/>
        <v>Oportunidad de mejora</v>
      </c>
      <c r="J23" s="99">
        <f t="shared" si="0"/>
        <v>10</v>
      </c>
      <c r="K23" s="97">
        <v>0.12345678911999999</v>
      </c>
      <c r="L23" s="97">
        <f t="shared" si="3"/>
        <v>10.12345678912</v>
      </c>
    </row>
    <row r="24" spans="1:32" s="46" customFormat="1" ht="57.75" customHeight="1">
      <c r="A24" s="95" t="str">
        <f t="shared" si="1"/>
        <v>1i</v>
      </c>
      <c r="B24" s="218"/>
      <c r="C24" s="228"/>
      <c r="D24" s="215"/>
      <c r="E24" s="77" t="s">
        <v>52</v>
      </c>
      <c r="F24" s="79" t="s">
        <v>53</v>
      </c>
      <c r="G24" s="105" t="s">
        <v>39</v>
      </c>
      <c r="H24" s="107"/>
      <c r="I24" s="100" t="str">
        <f t="shared" si="2"/>
        <v>Mantenimiento del control</v>
      </c>
      <c r="J24" s="99">
        <f t="shared" si="0"/>
        <v>20</v>
      </c>
      <c r="K24" s="97">
        <v>0.123456789123</v>
      </c>
      <c r="L24" s="97">
        <f t="shared" si="3"/>
        <v>20.123456789123001</v>
      </c>
    </row>
    <row r="25" spans="1:32" s="46" customFormat="1" ht="52.5" customHeight="1">
      <c r="A25" s="95" t="str">
        <f t="shared" si="1"/>
        <v>1j</v>
      </c>
      <c r="B25" s="218"/>
      <c r="C25" s="228"/>
      <c r="D25" s="215"/>
      <c r="E25" s="77" t="s">
        <v>54</v>
      </c>
      <c r="F25" s="79" t="s">
        <v>55</v>
      </c>
      <c r="G25" s="105" t="s">
        <v>39</v>
      </c>
      <c r="H25" s="107"/>
      <c r="I25" s="100" t="str">
        <f t="shared" si="2"/>
        <v>Mantenimiento del control</v>
      </c>
      <c r="J25" s="99">
        <f t="shared" si="0"/>
        <v>20</v>
      </c>
      <c r="K25" s="97">
        <v>0.1234567891234</v>
      </c>
      <c r="L25" s="97">
        <f t="shared" si="3"/>
        <v>20.123456789123399</v>
      </c>
    </row>
    <row r="26" spans="1:32" s="46" customFormat="1" ht="42" customHeight="1">
      <c r="A26" s="95" t="str">
        <f t="shared" si="1"/>
        <v>1k</v>
      </c>
      <c r="B26" s="218"/>
      <c r="C26" s="228"/>
      <c r="D26" s="215"/>
      <c r="E26" s="77" t="s">
        <v>56</v>
      </c>
      <c r="F26" s="79" t="s">
        <v>57</v>
      </c>
      <c r="G26" s="105" t="s">
        <v>39</v>
      </c>
      <c r="H26" s="107"/>
      <c r="I26" s="100" t="str">
        <f t="shared" si="2"/>
        <v>Mantenimiento del control</v>
      </c>
      <c r="J26" s="99">
        <f t="shared" si="0"/>
        <v>20</v>
      </c>
      <c r="K26" s="97">
        <v>0.12345678912345</v>
      </c>
      <c r="L26" s="97">
        <f t="shared" si="3"/>
        <v>20.123456789123448</v>
      </c>
    </row>
    <row r="27" spans="1:32" s="46" customFormat="1" ht="31.8" thickBot="1">
      <c r="A27" s="95" t="str">
        <f t="shared" si="1"/>
        <v>1l</v>
      </c>
      <c r="B27" s="219"/>
      <c r="C27" s="229"/>
      <c r="D27" s="216"/>
      <c r="E27" s="80" t="s">
        <v>58</v>
      </c>
      <c r="F27" s="81" t="s">
        <v>59</v>
      </c>
      <c r="G27" s="108" t="s">
        <v>39</v>
      </c>
      <c r="H27" s="109"/>
      <c r="I27" s="101" t="str">
        <f t="shared" si="2"/>
        <v>Mantenimiento del control</v>
      </c>
      <c r="J27" s="99">
        <f t="shared" si="0"/>
        <v>20</v>
      </c>
      <c r="K27" s="97">
        <v>0.12345678912345601</v>
      </c>
      <c r="L27" s="97">
        <f t="shared" si="3"/>
        <v>20.123456789123455</v>
      </c>
    </row>
    <row r="28" spans="1:32" s="46" customFormat="1" ht="44.25" customHeight="1">
      <c r="A28" s="95" t="str">
        <f>2&amp;E28</f>
        <v>2a</v>
      </c>
      <c r="B28" s="220" t="s">
        <v>60</v>
      </c>
      <c r="C28" s="230" t="s">
        <v>61</v>
      </c>
      <c r="D28" s="223" t="s">
        <v>62</v>
      </c>
      <c r="E28" s="75" t="s">
        <v>34</v>
      </c>
      <c r="F28" s="76" t="s">
        <v>63</v>
      </c>
      <c r="G28" s="103" t="s">
        <v>76</v>
      </c>
      <c r="H28" s="104"/>
      <c r="I28" s="96" t="str">
        <f t="shared" si="2"/>
        <v>Oportunidad de mejora</v>
      </c>
      <c r="J28" s="97">
        <f>+IF(G28="Si",40,IF(G28="En proceso",30,20))</f>
        <v>30</v>
      </c>
      <c r="K28" s="97">
        <v>0.23</v>
      </c>
      <c r="L28" s="97">
        <f t="shared" si="3"/>
        <v>30.23</v>
      </c>
    </row>
    <row r="29" spans="1:32" s="46" customFormat="1" ht="46.8">
      <c r="A29" s="95" t="str">
        <f t="shared" ref="A29:A31" si="4">2&amp;E29</f>
        <v>2b</v>
      </c>
      <c r="B29" s="221"/>
      <c r="C29" s="231"/>
      <c r="D29" s="224"/>
      <c r="E29" s="77" t="s">
        <v>37</v>
      </c>
      <c r="F29" s="79" t="s">
        <v>64</v>
      </c>
      <c r="G29" s="105" t="s">
        <v>39</v>
      </c>
      <c r="H29" s="107"/>
      <c r="I29" s="100" t="str">
        <f t="shared" si="2"/>
        <v>Mantenimiento del control</v>
      </c>
      <c r="J29" s="97">
        <f>+IF(G29="Si",40,IF(G29="En proceso",30,20))</f>
        <v>40</v>
      </c>
      <c r="K29" s="97">
        <v>0.23400000000000001</v>
      </c>
      <c r="L29" s="97">
        <f t="shared" si="3"/>
        <v>40.234000000000002</v>
      </c>
    </row>
    <row r="30" spans="1:32" s="46" customFormat="1" ht="46.8">
      <c r="A30" s="95" t="str">
        <f t="shared" si="4"/>
        <v>2c</v>
      </c>
      <c r="B30" s="221"/>
      <c r="C30" s="231"/>
      <c r="D30" s="224"/>
      <c r="E30" s="77" t="s">
        <v>40</v>
      </c>
      <c r="F30" s="79" t="s">
        <v>65</v>
      </c>
      <c r="G30" s="105" t="s">
        <v>36</v>
      </c>
      <c r="H30" s="107"/>
      <c r="I30" s="100" t="str">
        <f t="shared" si="2"/>
        <v>Deficiencia de control</v>
      </c>
      <c r="J30" s="97">
        <f>+IF(G30="Si",40,IF(G30="En proceso",30,20))</f>
        <v>20</v>
      </c>
      <c r="K30" s="97">
        <v>0.23449999999999999</v>
      </c>
      <c r="L30" s="97">
        <f t="shared" si="3"/>
        <v>20.234500000000001</v>
      </c>
    </row>
    <row r="31" spans="1:32" s="46" customFormat="1" ht="47.4" thickBot="1">
      <c r="A31" s="95" t="str">
        <f t="shared" si="4"/>
        <v>2d</v>
      </c>
      <c r="B31" s="222"/>
      <c r="C31" s="232"/>
      <c r="D31" s="225"/>
      <c r="E31" s="80" t="s">
        <v>42</v>
      </c>
      <c r="F31" s="81" t="s">
        <v>66</v>
      </c>
      <c r="G31" s="108" t="s">
        <v>36</v>
      </c>
      <c r="H31" s="109"/>
      <c r="I31" s="101" t="str">
        <f t="shared" si="2"/>
        <v>Deficiencia de control</v>
      </c>
      <c r="J31" s="97">
        <f>+IF(G31="Si",40,IF(G31="En proceso",30,20))</f>
        <v>20</v>
      </c>
      <c r="K31" s="97">
        <v>0.23455999999999999</v>
      </c>
      <c r="L31" s="97">
        <f t="shared" si="3"/>
        <v>20.234559999999998</v>
      </c>
    </row>
    <row r="32" spans="1:32" s="46" customFormat="1" ht="49.5" customHeight="1">
      <c r="A32" s="95" t="str">
        <f>3&amp;E32</f>
        <v>3a</v>
      </c>
      <c r="B32" s="242" t="s">
        <v>67</v>
      </c>
      <c r="C32" s="242" t="s">
        <v>61</v>
      </c>
      <c r="D32" s="243" t="s">
        <v>68</v>
      </c>
      <c r="E32" s="77" t="s">
        <v>34</v>
      </c>
      <c r="F32" s="79" t="s">
        <v>69</v>
      </c>
      <c r="G32" s="105" t="s">
        <v>36</v>
      </c>
      <c r="H32" s="107"/>
      <c r="I32" s="100" t="str">
        <f t="shared" si="2"/>
        <v>Deficiencia de control</v>
      </c>
      <c r="J32" s="97">
        <f t="shared" ref="J32:J37" si="5">+IF(G32="Si",40,IF(G32="En proceso",30,20))</f>
        <v>20</v>
      </c>
      <c r="K32" s="102">
        <v>0.234567</v>
      </c>
      <c r="L32" s="97">
        <f t="shared" ref="L32:L37" si="6">+J32+K32</f>
        <v>20.234566999999998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49.5" customHeight="1">
      <c r="A33" s="95" t="str">
        <f t="shared" ref="A33:A34" si="7">3&amp;E33</f>
        <v>3b</v>
      </c>
      <c r="B33" s="242"/>
      <c r="C33" s="242"/>
      <c r="D33" s="243"/>
      <c r="E33" s="77" t="s">
        <v>37</v>
      </c>
      <c r="F33" s="79" t="s">
        <v>70</v>
      </c>
      <c r="G33" s="105" t="s">
        <v>36</v>
      </c>
      <c r="H33" s="107"/>
      <c r="I33" s="100" t="str">
        <f t="shared" si="2"/>
        <v>Deficiencia de control</v>
      </c>
      <c r="J33" s="97">
        <f t="shared" si="5"/>
        <v>20</v>
      </c>
      <c r="K33" s="102">
        <v>0.23456779999999999</v>
      </c>
      <c r="L33" s="97">
        <f t="shared" si="6"/>
        <v>20.234567800000001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6" customHeight="1" thickBot="1">
      <c r="A34" s="95" t="str">
        <f t="shared" si="7"/>
        <v>3c</v>
      </c>
      <c r="B34" s="242"/>
      <c r="C34" s="242"/>
      <c r="D34" s="243"/>
      <c r="E34" s="77" t="s">
        <v>40</v>
      </c>
      <c r="F34" s="79" t="s">
        <v>71</v>
      </c>
      <c r="G34" s="105" t="s">
        <v>36</v>
      </c>
      <c r="H34" s="107"/>
      <c r="I34" s="100" t="str">
        <f t="shared" si="2"/>
        <v>Deficiencia de control</v>
      </c>
      <c r="J34" s="97">
        <f t="shared" si="5"/>
        <v>20</v>
      </c>
      <c r="K34" s="102">
        <v>0.23456789</v>
      </c>
      <c r="L34" s="97">
        <f t="shared" si="6"/>
        <v>20.234567890000001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60.75" customHeight="1">
      <c r="A35" s="95" t="str">
        <f>4&amp;E35</f>
        <v>4a</v>
      </c>
      <c r="B35" s="244" t="s">
        <v>72</v>
      </c>
      <c r="C35" s="231" t="s">
        <v>61</v>
      </c>
      <c r="D35" s="224" t="s">
        <v>73</v>
      </c>
      <c r="E35" s="75" t="s">
        <v>34</v>
      </c>
      <c r="F35" s="76" t="s">
        <v>74</v>
      </c>
      <c r="G35" s="103" t="s">
        <v>76</v>
      </c>
      <c r="H35" s="104"/>
      <c r="I35" s="96" t="str">
        <f t="shared" si="2"/>
        <v>Oportunidad de mejora</v>
      </c>
      <c r="J35" s="97">
        <f t="shared" si="5"/>
        <v>30</v>
      </c>
      <c r="K35" s="102">
        <v>0.23456789119999999</v>
      </c>
      <c r="L35" s="97">
        <f t="shared" si="6"/>
        <v>30.234567891200001</v>
      </c>
      <c r="M35" s="45"/>
      <c r="N35" s="45"/>
      <c r="O35" s="45"/>
      <c r="P35" s="45"/>
      <c r="Q35" s="45"/>
    </row>
    <row r="36" spans="1:32" s="46" customFormat="1" ht="57.75" customHeight="1">
      <c r="A36" s="95" t="str">
        <f t="shared" ref="A36:A37" si="8">4&amp;E36</f>
        <v>4b</v>
      </c>
      <c r="B36" s="244"/>
      <c r="C36" s="231"/>
      <c r="D36" s="224"/>
      <c r="E36" s="77" t="s">
        <v>37</v>
      </c>
      <c r="F36" s="79" t="s">
        <v>75</v>
      </c>
      <c r="G36" s="105" t="s">
        <v>76</v>
      </c>
      <c r="H36" s="107"/>
      <c r="I36" s="100" t="str">
        <f t="shared" si="2"/>
        <v>Oportunidad de mejora</v>
      </c>
      <c r="J36" s="97">
        <f t="shared" si="5"/>
        <v>30</v>
      </c>
      <c r="K36" s="102">
        <v>0.23456789122999999</v>
      </c>
      <c r="L36" s="97">
        <f t="shared" si="6"/>
        <v>30.23456789123</v>
      </c>
      <c r="M36" s="45"/>
      <c r="N36" s="45"/>
      <c r="O36" s="45"/>
      <c r="P36" s="45"/>
      <c r="Q36" s="45"/>
    </row>
    <row r="37" spans="1:32" s="46" customFormat="1" ht="49.5" customHeight="1" thickBot="1">
      <c r="A37" s="95" t="str">
        <f t="shared" si="8"/>
        <v>4c</v>
      </c>
      <c r="B37" s="244"/>
      <c r="C37" s="231"/>
      <c r="D37" s="224"/>
      <c r="E37" s="77" t="s">
        <v>40</v>
      </c>
      <c r="F37" s="79" t="s">
        <v>77</v>
      </c>
      <c r="G37" s="105" t="s">
        <v>76</v>
      </c>
      <c r="H37" s="107"/>
      <c r="I37" s="100" t="str">
        <f t="shared" si="2"/>
        <v>Oportunidad de mejora</v>
      </c>
      <c r="J37" s="97">
        <f t="shared" si="5"/>
        <v>30</v>
      </c>
      <c r="K37" s="102">
        <v>0.23456789123399999</v>
      </c>
      <c r="L37" s="97">
        <f t="shared" si="6"/>
        <v>30.234567891234001</v>
      </c>
      <c r="M37" s="45"/>
      <c r="N37" s="45"/>
      <c r="O37" s="45"/>
      <c r="P37" s="45"/>
      <c r="Q37" s="45"/>
    </row>
    <row r="38" spans="1:32" s="46" customFormat="1" ht="85.5" customHeight="1">
      <c r="A38" s="95" t="str">
        <f>5&amp;E38</f>
        <v>5a</v>
      </c>
      <c r="B38" s="245" t="s">
        <v>78</v>
      </c>
      <c r="C38" s="233" t="s">
        <v>79</v>
      </c>
      <c r="D38" s="248" t="s">
        <v>80</v>
      </c>
      <c r="E38" s="75" t="s">
        <v>34</v>
      </c>
      <c r="F38" s="76" t="s">
        <v>81</v>
      </c>
      <c r="G38" s="103" t="s">
        <v>76</v>
      </c>
      <c r="H38" s="104"/>
      <c r="I38" s="96" t="str">
        <f t="shared" si="2"/>
        <v>Oportunidad de mejora</v>
      </c>
      <c r="J38" s="97">
        <f>+IF(G38="Si",60,IF(G38="En proceso",50,40))</f>
        <v>50</v>
      </c>
      <c r="K38" s="97">
        <v>0.31</v>
      </c>
      <c r="L38" s="97">
        <f t="shared" si="3"/>
        <v>50.31</v>
      </c>
    </row>
    <row r="39" spans="1:32" s="46" customFormat="1" ht="62.4">
      <c r="A39" s="95" t="str">
        <f t="shared" ref="A39:A42" si="9">5&amp;E39</f>
        <v>5b</v>
      </c>
      <c r="B39" s="246"/>
      <c r="C39" s="234"/>
      <c r="D39" s="249"/>
      <c r="E39" s="77" t="s">
        <v>37</v>
      </c>
      <c r="F39" s="79" t="s">
        <v>82</v>
      </c>
      <c r="G39" s="105" t="s">
        <v>76</v>
      </c>
      <c r="H39" s="107"/>
      <c r="I39" s="100" t="str">
        <f t="shared" si="2"/>
        <v>Oportunidad de mejora</v>
      </c>
      <c r="J39" s="97">
        <f>+IF(G39="Si",60,IF(G39="En proceso",50,40))</f>
        <v>50</v>
      </c>
      <c r="K39" s="97">
        <v>0.32300000000000001</v>
      </c>
      <c r="L39" s="97">
        <f t="shared" si="3"/>
        <v>50.323</v>
      </c>
    </row>
    <row r="40" spans="1:32" s="46" customFormat="1" ht="46.8">
      <c r="A40" s="95" t="str">
        <f t="shared" si="9"/>
        <v>5c</v>
      </c>
      <c r="B40" s="246"/>
      <c r="C40" s="234"/>
      <c r="D40" s="249"/>
      <c r="E40" s="77" t="s">
        <v>40</v>
      </c>
      <c r="F40" s="79" t="s">
        <v>83</v>
      </c>
      <c r="G40" s="105" t="s">
        <v>76</v>
      </c>
      <c r="H40" s="107"/>
      <c r="I40" s="100" t="str">
        <f t="shared" si="2"/>
        <v>Oportunidad de mejora</v>
      </c>
      <c r="J40" s="97">
        <f>+IF(G40="Si",60,IF(G40="En proceso",50,40))</f>
        <v>50</v>
      </c>
      <c r="K40" s="97">
        <v>0.32400000000000001</v>
      </c>
      <c r="L40" s="97">
        <f t="shared" si="3"/>
        <v>50.323999999999998</v>
      </c>
    </row>
    <row r="41" spans="1:32" s="46" customFormat="1" ht="93.6">
      <c r="A41" s="95" t="str">
        <f t="shared" si="9"/>
        <v>5d</v>
      </c>
      <c r="B41" s="246"/>
      <c r="C41" s="234"/>
      <c r="D41" s="249"/>
      <c r="E41" s="77" t="s">
        <v>42</v>
      </c>
      <c r="F41" s="79" t="s">
        <v>84</v>
      </c>
      <c r="G41" s="105" t="s">
        <v>36</v>
      </c>
      <c r="H41" s="107"/>
      <c r="I41" s="100" t="str">
        <f t="shared" si="2"/>
        <v>Deficiencia de control</v>
      </c>
      <c r="J41" s="97">
        <f>+IF(G41="Si",60,IF(G41="En proceso",50,40))</f>
        <v>40</v>
      </c>
      <c r="K41" s="97">
        <v>0.32500000000000001</v>
      </c>
      <c r="L41" s="97">
        <f t="shared" si="3"/>
        <v>40.325000000000003</v>
      </c>
    </row>
    <row r="42" spans="1:32" s="46" customFormat="1" ht="47.4" thickBot="1">
      <c r="A42" s="95" t="str">
        <f t="shared" si="9"/>
        <v>5e</v>
      </c>
      <c r="B42" s="247"/>
      <c r="C42" s="235"/>
      <c r="D42" s="250"/>
      <c r="E42" s="80" t="s">
        <v>44</v>
      </c>
      <c r="F42" s="81" t="s">
        <v>85</v>
      </c>
      <c r="G42" s="108" t="s">
        <v>39</v>
      </c>
      <c r="H42" s="109"/>
      <c r="I42" s="101" t="str">
        <f t="shared" si="2"/>
        <v>Mantenimiento del control</v>
      </c>
      <c r="J42" s="97">
        <f>+IF(G42="Si",60,IF(G42="En proceso",50,40))</f>
        <v>60</v>
      </c>
      <c r="K42" s="97">
        <v>0.32600000000000001</v>
      </c>
      <c r="L42" s="97">
        <f t="shared" si="3"/>
        <v>60.326000000000001</v>
      </c>
    </row>
    <row r="43" spans="1:32" s="46" customFormat="1" ht="40.5" customHeight="1">
      <c r="A43" s="95" t="str">
        <f>6&amp;E43</f>
        <v>6a</v>
      </c>
      <c r="B43" s="205" t="s">
        <v>86</v>
      </c>
      <c r="C43" s="236" t="s">
        <v>87</v>
      </c>
      <c r="D43" s="202" t="s">
        <v>88</v>
      </c>
      <c r="E43" s="75" t="s">
        <v>34</v>
      </c>
      <c r="F43" s="76" t="s">
        <v>89</v>
      </c>
      <c r="G43" s="103" t="s">
        <v>36</v>
      </c>
      <c r="H43" s="104"/>
      <c r="I43" s="96" t="str">
        <f t="shared" si="2"/>
        <v>Deficiencia de control</v>
      </c>
      <c r="J43" s="97">
        <f t="shared" ref="J43:J49" si="10">+IF(G43="Si",80,IF(G43="En proceso",70,60))</f>
        <v>60</v>
      </c>
      <c r="K43" s="97">
        <v>0.41199999999999998</v>
      </c>
      <c r="L43" s="97">
        <f t="shared" si="3"/>
        <v>60.411999999999999</v>
      </c>
    </row>
    <row r="44" spans="1:32" s="46" customFormat="1" ht="33" customHeight="1">
      <c r="A44" s="95" t="str">
        <f t="shared" ref="A44:A49" si="11">6&amp;E44</f>
        <v>6b</v>
      </c>
      <c r="B44" s="206"/>
      <c r="C44" s="237"/>
      <c r="D44" s="203"/>
      <c r="E44" s="77" t="s">
        <v>37</v>
      </c>
      <c r="F44" s="79" t="s">
        <v>90</v>
      </c>
      <c r="G44" s="105" t="s">
        <v>39</v>
      </c>
      <c r="H44" s="107"/>
      <c r="I44" s="100" t="str">
        <f t="shared" si="2"/>
        <v>Mantenimiento del control</v>
      </c>
      <c r="J44" s="97">
        <f t="shared" si="10"/>
        <v>80</v>
      </c>
      <c r="K44" s="97">
        <v>0.4123</v>
      </c>
      <c r="L44" s="97">
        <f t="shared" si="3"/>
        <v>80.412300000000002</v>
      </c>
    </row>
    <row r="45" spans="1:32" s="46" customFormat="1" ht="46.8">
      <c r="A45" s="95" t="str">
        <f t="shared" si="11"/>
        <v>6c</v>
      </c>
      <c r="B45" s="206"/>
      <c r="C45" s="237"/>
      <c r="D45" s="203"/>
      <c r="E45" s="77" t="s">
        <v>40</v>
      </c>
      <c r="F45" s="79" t="s">
        <v>91</v>
      </c>
      <c r="G45" s="105" t="s">
        <v>39</v>
      </c>
      <c r="H45" s="107"/>
      <c r="I45" s="100" t="str">
        <f t="shared" si="2"/>
        <v>Mantenimiento del control</v>
      </c>
      <c r="J45" s="97">
        <f t="shared" si="10"/>
        <v>80</v>
      </c>
      <c r="K45" s="97">
        <v>0.41233999999999998</v>
      </c>
      <c r="L45" s="97">
        <f t="shared" si="3"/>
        <v>80.41234</v>
      </c>
    </row>
    <row r="46" spans="1:32" s="46" customFormat="1" ht="31.2">
      <c r="A46" s="95" t="str">
        <f t="shared" si="11"/>
        <v>6d</v>
      </c>
      <c r="B46" s="206"/>
      <c r="C46" s="237"/>
      <c r="D46" s="203"/>
      <c r="E46" s="77" t="s">
        <v>42</v>
      </c>
      <c r="F46" s="79" t="s">
        <v>92</v>
      </c>
      <c r="G46" s="105" t="s">
        <v>39</v>
      </c>
      <c r="H46" s="107"/>
      <c r="I46" s="100" t="str">
        <f t="shared" si="2"/>
        <v>Mantenimiento del control</v>
      </c>
      <c r="J46" s="97">
        <f t="shared" si="10"/>
        <v>80</v>
      </c>
      <c r="K46" s="97">
        <v>0.41234500000000002</v>
      </c>
      <c r="L46" s="97">
        <f t="shared" si="3"/>
        <v>80.412345000000002</v>
      </c>
    </row>
    <row r="47" spans="1:32" s="46" customFormat="1" ht="62.4">
      <c r="A47" s="95" t="str">
        <f t="shared" si="11"/>
        <v>6e</v>
      </c>
      <c r="B47" s="206"/>
      <c r="C47" s="237"/>
      <c r="D47" s="203"/>
      <c r="E47" s="77" t="s">
        <v>44</v>
      </c>
      <c r="F47" s="79" t="s">
        <v>93</v>
      </c>
      <c r="G47" s="105" t="s">
        <v>76</v>
      </c>
      <c r="H47" s="107"/>
      <c r="I47" s="100" t="str">
        <f t="shared" si="2"/>
        <v>Oportunidad de mejora</v>
      </c>
      <c r="J47" s="97">
        <f t="shared" si="10"/>
        <v>70</v>
      </c>
      <c r="K47" s="97">
        <v>0.41234559999999998</v>
      </c>
      <c r="L47" s="97">
        <f t="shared" si="3"/>
        <v>70.412345599999995</v>
      </c>
    </row>
    <row r="48" spans="1:32" s="46" customFormat="1" ht="46.8">
      <c r="A48" s="95" t="str">
        <f t="shared" si="11"/>
        <v>6f</v>
      </c>
      <c r="B48" s="206"/>
      <c r="C48" s="237"/>
      <c r="D48" s="203"/>
      <c r="E48" s="77" t="s">
        <v>46</v>
      </c>
      <c r="F48" s="79" t="s">
        <v>94</v>
      </c>
      <c r="G48" s="105" t="s">
        <v>36</v>
      </c>
      <c r="H48" s="107"/>
      <c r="I48" s="100" t="str">
        <f t="shared" si="2"/>
        <v>Deficiencia de control</v>
      </c>
      <c r="J48" s="97">
        <f t="shared" si="10"/>
        <v>60</v>
      </c>
      <c r="K48" s="97">
        <v>0.41234567</v>
      </c>
      <c r="L48" s="97">
        <f t="shared" si="3"/>
        <v>60.412345670000001</v>
      </c>
    </row>
    <row r="49" spans="1:17" s="46" customFormat="1" ht="47.4" thickBot="1">
      <c r="A49" s="95" t="str">
        <f t="shared" si="11"/>
        <v>6g</v>
      </c>
      <c r="B49" s="207"/>
      <c r="C49" s="238"/>
      <c r="D49" s="204"/>
      <c r="E49" s="80" t="s">
        <v>48</v>
      </c>
      <c r="F49" s="81" t="s">
        <v>95</v>
      </c>
      <c r="G49" s="108" t="s">
        <v>39</v>
      </c>
      <c r="H49" s="109"/>
      <c r="I49" s="101" t="str">
        <f t="shared" si="2"/>
        <v>Mantenimiento del control</v>
      </c>
      <c r="J49" s="97">
        <f t="shared" si="10"/>
        <v>80</v>
      </c>
      <c r="K49" s="97">
        <v>0.41234567799999999</v>
      </c>
      <c r="L49" s="97">
        <f t="shared" si="3"/>
        <v>80.412345677999994</v>
      </c>
    </row>
    <row r="50" spans="1:17" s="46" customFormat="1" ht="54.75" customHeight="1">
      <c r="A50" s="95" t="str">
        <f>7&amp;E50</f>
        <v>7a</v>
      </c>
      <c r="B50" s="211" t="s">
        <v>96</v>
      </c>
      <c r="C50" s="239" t="s">
        <v>97</v>
      </c>
      <c r="D50" s="208" t="s">
        <v>98</v>
      </c>
      <c r="E50" s="75" t="s">
        <v>34</v>
      </c>
      <c r="F50" s="76" t="s">
        <v>99</v>
      </c>
      <c r="G50" s="103" t="s">
        <v>36</v>
      </c>
      <c r="H50" s="104"/>
      <c r="I50" s="96" t="str">
        <f t="shared" si="2"/>
        <v>Deficiencia de control</v>
      </c>
      <c r="J50" s="97">
        <f>+IF(G50="Si",120,IF(G50="En proceso",100,80))</f>
        <v>80</v>
      </c>
      <c r="K50" s="97">
        <v>0.85099999999999998</v>
      </c>
      <c r="L50" s="97">
        <f t="shared" si="3"/>
        <v>80.850999999999999</v>
      </c>
    </row>
    <row r="51" spans="1:17" s="46" customFormat="1" ht="78">
      <c r="A51" s="95" t="str">
        <f t="shared" ref="A51:A53" si="12">7&amp;E51</f>
        <v>7d</v>
      </c>
      <c r="B51" s="212"/>
      <c r="C51" s="240"/>
      <c r="D51" s="209"/>
      <c r="E51" s="77" t="s">
        <v>42</v>
      </c>
      <c r="F51" s="79" t="s">
        <v>100</v>
      </c>
      <c r="G51" s="105" t="s">
        <v>76</v>
      </c>
      <c r="H51" s="107"/>
      <c r="I51" s="100" t="str">
        <f t="shared" si="2"/>
        <v>Oportunidad de mejora</v>
      </c>
      <c r="J51" s="97">
        <f t="shared" ref="J51:J59" si="13">+IF(G51="Si",120,IF(G51="En proceso",100,80))</f>
        <v>100</v>
      </c>
      <c r="K51" s="97">
        <v>0.85119999999999996</v>
      </c>
      <c r="L51" s="97">
        <f t="shared" si="3"/>
        <v>100.85120000000001</v>
      </c>
    </row>
    <row r="52" spans="1:17" s="46" customFormat="1" ht="46.8">
      <c r="A52" s="95" t="str">
        <f t="shared" si="12"/>
        <v>7f</v>
      </c>
      <c r="B52" s="212"/>
      <c r="C52" s="240"/>
      <c r="D52" s="209"/>
      <c r="E52" s="77" t="s">
        <v>46</v>
      </c>
      <c r="F52" s="79" t="s">
        <v>101</v>
      </c>
      <c r="G52" s="105" t="s">
        <v>39</v>
      </c>
      <c r="H52" s="107"/>
      <c r="I52" s="100" t="str">
        <f t="shared" si="2"/>
        <v>Mantenimiento del control</v>
      </c>
      <c r="J52" s="97">
        <f t="shared" si="13"/>
        <v>120</v>
      </c>
      <c r="K52" s="97">
        <v>0.85123000000000004</v>
      </c>
      <c r="L52" s="97">
        <f t="shared" si="3"/>
        <v>120.85123</v>
      </c>
    </row>
    <row r="53" spans="1:17" s="46" customFormat="1" ht="31.8" thickBot="1">
      <c r="A53" s="95" t="str">
        <f t="shared" si="12"/>
        <v>7g</v>
      </c>
      <c r="B53" s="213"/>
      <c r="C53" s="241"/>
      <c r="D53" s="210"/>
      <c r="E53" s="80" t="s">
        <v>48</v>
      </c>
      <c r="F53" s="81" t="s">
        <v>102</v>
      </c>
      <c r="G53" s="108" t="s">
        <v>36</v>
      </c>
      <c r="H53" s="109"/>
      <c r="I53" s="101" t="str">
        <f t="shared" si="2"/>
        <v>Deficiencia de control</v>
      </c>
      <c r="J53" s="97">
        <f t="shared" si="13"/>
        <v>80</v>
      </c>
      <c r="K53" s="97">
        <v>0.85123400000000005</v>
      </c>
      <c r="L53" s="97">
        <f t="shared" si="3"/>
        <v>80.851234000000005</v>
      </c>
    </row>
    <row r="54" spans="1:17" s="46" customFormat="1" ht="102.75" customHeight="1" thickBot="1">
      <c r="A54" s="95" t="str">
        <f>8&amp;E54</f>
        <v>8h</v>
      </c>
      <c r="B54" s="150" t="s">
        <v>103</v>
      </c>
      <c r="C54" s="151" t="s">
        <v>97</v>
      </c>
      <c r="D54" s="70" t="s">
        <v>104</v>
      </c>
      <c r="E54" s="75" t="s">
        <v>50</v>
      </c>
      <c r="F54" s="76" t="s">
        <v>105</v>
      </c>
      <c r="G54" s="103" t="s">
        <v>39</v>
      </c>
      <c r="H54" s="104"/>
      <c r="I54" s="96" t="str">
        <f t="shared" si="2"/>
        <v>Mantenimiento del control</v>
      </c>
      <c r="J54" s="97">
        <f t="shared" si="13"/>
        <v>120</v>
      </c>
      <c r="K54" s="97">
        <v>0.85123450000000001</v>
      </c>
      <c r="L54" s="97">
        <f t="shared" si="3"/>
        <v>120.8512345</v>
      </c>
    </row>
    <row r="55" spans="1:17" s="46" customFormat="1" ht="54.75" customHeight="1">
      <c r="A55" s="95" t="str">
        <f>9&amp;E55</f>
        <v>9a</v>
      </c>
      <c r="B55" s="211" t="s">
        <v>106</v>
      </c>
      <c r="C55" s="239" t="s">
        <v>97</v>
      </c>
      <c r="D55" s="208" t="s">
        <v>107</v>
      </c>
      <c r="E55" s="75" t="s">
        <v>34</v>
      </c>
      <c r="F55" s="76" t="s">
        <v>108</v>
      </c>
      <c r="G55" s="103" t="s">
        <v>36</v>
      </c>
      <c r="H55" s="104"/>
      <c r="I55" s="96" t="str">
        <f t="shared" si="2"/>
        <v>Deficiencia de control</v>
      </c>
      <c r="J55" s="97">
        <f t="shared" si="13"/>
        <v>80</v>
      </c>
      <c r="K55" s="102">
        <v>0.85123455999999997</v>
      </c>
      <c r="L55" s="97">
        <f t="shared" si="3"/>
        <v>80.851234559999995</v>
      </c>
      <c r="M55" s="45"/>
      <c r="N55" s="45"/>
      <c r="O55" s="45"/>
      <c r="P55" s="45"/>
      <c r="Q55" s="45"/>
    </row>
    <row r="56" spans="1:17" s="46" customFormat="1" ht="55.5" customHeight="1">
      <c r="A56" s="95" t="str">
        <f t="shared" ref="A56:A59" si="14">9&amp;E56</f>
        <v>9b</v>
      </c>
      <c r="B56" s="212"/>
      <c r="C56" s="240"/>
      <c r="D56" s="209"/>
      <c r="E56" s="77" t="s">
        <v>37</v>
      </c>
      <c r="F56" s="79" t="s">
        <v>109</v>
      </c>
      <c r="G56" s="105" t="s">
        <v>76</v>
      </c>
      <c r="H56" s="107"/>
      <c r="I56" s="100" t="str">
        <f t="shared" si="2"/>
        <v>Oportunidad de mejora</v>
      </c>
      <c r="J56" s="97">
        <f t="shared" si="13"/>
        <v>100</v>
      </c>
      <c r="K56" s="102">
        <v>0.851234567</v>
      </c>
      <c r="L56" s="97">
        <f t="shared" si="3"/>
        <v>100.85123456700001</v>
      </c>
      <c r="M56" s="45"/>
      <c r="N56" s="45"/>
      <c r="O56" s="45"/>
      <c r="P56" s="45"/>
      <c r="Q56" s="45"/>
    </row>
    <row r="57" spans="1:17" s="46" customFormat="1" ht="77.25" customHeight="1">
      <c r="A57" s="95" t="str">
        <f t="shared" si="14"/>
        <v>9c</v>
      </c>
      <c r="B57" s="212"/>
      <c r="C57" s="240"/>
      <c r="D57" s="209"/>
      <c r="E57" s="77" t="s">
        <v>40</v>
      </c>
      <c r="F57" s="79" t="s">
        <v>110</v>
      </c>
      <c r="G57" s="105" t="s">
        <v>76</v>
      </c>
      <c r="H57" s="107"/>
      <c r="I57" s="100" t="str">
        <f t="shared" si="2"/>
        <v>Oportunidad de mejora</v>
      </c>
      <c r="J57" s="97">
        <f t="shared" si="13"/>
        <v>100</v>
      </c>
      <c r="K57" s="102">
        <v>0.85123456779999995</v>
      </c>
      <c r="L57" s="97">
        <f t="shared" si="3"/>
        <v>100.85123456780001</v>
      </c>
      <c r="M57" s="45"/>
      <c r="N57" s="45"/>
      <c r="O57" s="45"/>
      <c r="P57" s="45"/>
      <c r="Q57" s="45"/>
    </row>
    <row r="58" spans="1:17" s="46" customFormat="1" ht="77.25" customHeight="1">
      <c r="A58" s="95" t="str">
        <f t="shared" si="14"/>
        <v>9d</v>
      </c>
      <c r="B58" s="212"/>
      <c r="C58" s="240"/>
      <c r="D58" s="209"/>
      <c r="E58" s="77" t="s">
        <v>42</v>
      </c>
      <c r="F58" s="79" t="s">
        <v>111</v>
      </c>
      <c r="G58" s="105" t="s">
        <v>76</v>
      </c>
      <c r="H58" s="107"/>
      <c r="I58" s="100" t="str">
        <f t="shared" si="2"/>
        <v>Oportunidad de mejora</v>
      </c>
      <c r="J58" s="97">
        <f t="shared" si="13"/>
        <v>100</v>
      </c>
      <c r="K58" s="102">
        <v>0.85123456788999996</v>
      </c>
      <c r="L58" s="97">
        <f t="shared" si="3"/>
        <v>100.85123456789</v>
      </c>
      <c r="M58" s="45"/>
      <c r="N58" s="45"/>
      <c r="O58" s="45"/>
      <c r="P58" s="45"/>
      <c r="Q58" s="45"/>
    </row>
    <row r="59" spans="1:17" s="46" customFormat="1" ht="77.25" customHeight="1" thickBot="1">
      <c r="A59" s="95" t="str">
        <f t="shared" si="14"/>
        <v>9e</v>
      </c>
      <c r="B59" s="213"/>
      <c r="C59" s="240"/>
      <c r="D59" s="226"/>
      <c r="E59" s="80" t="s">
        <v>44</v>
      </c>
      <c r="F59" s="81" t="s">
        <v>112</v>
      </c>
      <c r="G59" s="108" t="s">
        <v>76</v>
      </c>
      <c r="H59" s="109"/>
      <c r="I59" s="101" t="str">
        <f t="shared" si="2"/>
        <v>Oportunidad de mejora</v>
      </c>
      <c r="J59" s="97">
        <f t="shared" si="13"/>
        <v>100</v>
      </c>
      <c r="K59" s="102">
        <v>0.85123456789100005</v>
      </c>
      <c r="L59" s="97">
        <f t="shared" si="3"/>
        <v>100.851234567891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40" zoomScale="80" zoomScaleNormal="80" workbookViewId="0">
      <selection activeCell="G19" sqref="G19"/>
    </sheetView>
  </sheetViews>
  <sheetFormatPr baseColWidth="10" defaultColWidth="11.44140625" defaultRowHeight="14.4"/>
  <cols>
    <col min="3" max="3" width="22.88671875" customWidth="1"/>
    <col min="4" max="4" width="22.5546875" customWidth="1"/>
    <col min="5" max="5" width="53.44140625" customWidth="1"/>
    <col min="7" max="7" width="28.33203125" customWidth="1"/>
    <col min="8" max="8" width="4.88671875" customWidth="1"/>
    <col min="9" max="9" width="15.33203125" customWidth="1"/>
    <col min="10" max="10" width="22.44140625" customWidth="1"/>
    <col min="11" max="29" width="11.44140625" style="1"/>
  </cols>
  <sheetData>
    <row r="1" spans="1:11">
      <c r="A1" s="1"/>
      <c r="B1" s="1"/>
      <c r="C1" s="1"/>
      <c r="D1" s="1"/>
      <c r="E1" s="1"/>
      <c r="F1" s="1"/>
      <c r="G1" s="1"/>
      <c r="H1" s="1"/>
      <c r="I1" s="1"/>
      <c r="J1" s="1"/>
    </row>
    <row r="2" spans="1:11" s="1" customFormat="1"/>
    <row r="3" spans="1:11" s="1" customFormat="1"/>
    <row r="4" spans="1:11">
      <c r="A4" s="1"/>
      <c r="B4" s="1"/>
      <c r="C4" s="1"/>
      <c r="D4" s="1"/>
      <c r="E4" s="1"/>
      <c r="F4" s="1"/>
      <c r="G4" s="1"/>
      <c r="H4" s="1"/>
      <c r="I4" s="1"/>
      <c r="J4" s="1"/>
    </row>
    <row r="5" spans="1:11">
      <c r="A5" s="1"/>
      <c r="B5" s="1"/>
      <c r="C5" s="1"/>
      <c r="D5" s="1"/>
      <c r="E5" s="1"/>
      <c r="F5" s="1"/>
      <c r="G5" s="1"/>
      <c r="H5" s="1"/>
      <c r="I5" s="1"/>
      <c r="J5" s="1"/>
    </row>
    <row r="6" spans="1:11" ht="15" thickBot="1">
      <c r="A6" s="1"/>
      <c r="B6" s="1"/>
      <c r="C6" s="1"/>
      <c r="D6" s="1"/>
      <c r="E6" s="1"/>
      <c r="F6" s="1"/>
      <c r="G6" s="1"/>
      <c r="H6" s="1"/>
      <c r="I6" s="1"/>
      <c r="J6" s="1"/>
    </row>
    <row r="7" spans="1:11" ht="25.8" thickBot="1">
      <c r="A7" s="1"/>
      <c r="B7" s="1"/>
      <c r="C7" s="251" t="s">
        <v>113</v>
      </c>
      <c r="D7" s="252"/>
      <c r="E7" s="252"/>
      <c r="F7" s="252"/>
      <c r="G7" s="252"/>
      <c r="H7" s="252"/>
      <c r="I7" s="252"/>
      <c r="J7" s="252"/>
      <c r="K7" s="253"/>
    </row>
    <row r="8" spans="1:11" s="1" customFormat="1" ht="15" thickBot="1">
      <c r="C8" s="36"/>
      <c r="D8" s="36"/>
      <c r="E8" s="37"/>
      <c r="F8" s="37"/>
      <c r="G8" s="37"/>
      <c r="H8" s="37"/>
      <c r="I8" s="47"/>
      <c r="J8" s="37"/>
      <c r="K8" s="37"/>
    </row>
    <row r="9" spans="1:11" ht="21" thickBot="1">
      <c r="A9" s="1"/>
      <c r="B9" s="1"/>
      <c r="C9" s="160" t="s">
        <v>15</v>
      </c>
      <c r="D9" s="161"/>
      <c r="E9" s="161" t="s">
        <v>16</v>
      </c>
      <c r="F9" s="172"/>
      <c r="G9" s="37"/>
      <c r="H9" s="37"/>
      <c r="I9" s="47"/>
      <c r="J9" s="37"/>
      <c r="K9" s="37"/>
    </row>
    <row r="10" spans="1:11" ht="54" customHeight="1">
      <c r="A10" s="1"/>
      <c r="B10" s="1"/>
      <c r="C10" s="173" t="s">
        <v>17</v>
      </c>
      <c r="D10" s="174"/>
      <c r="E10" s="175" t="s">
        <v>18</v>
      </c>
      <c r="F10" s="176"/>
      <c r="G10" s="38"/>
      <c r="H10" s="39">
        <v>1</v>
      </c>
      <c r="I10" s="47"/>
      <c r="J10" s="37"/>
      <c r="K10" s="37"/>
    </row>
    <row r="11" spans="1:11" ht="46.5" customHeight="1">
      <c r="A11" s="1"/>
      <c r="B11" s="1"/>
      <c r="C11" s="162" t="s">
        <v>19</v>
      </c>
      <c r="D11" s="163"/>
      <c r="E11" s="164" t="s">
        <v>114</v>
      </c>
      <c r="F11" s="165"/>
      <c r="G11" s="40" t="s">
        <v>115</v>
      </c>
      <c r="H11" s="39">
        <v>0.75</v>
      </c>
      <c r="I11" s="47"/>
      <c r="J11" s="37"/>
      <c r="K11" s="37"/>
    </row>
    <row r="12" spans="1:11" ht="70.5" customHeight="1" thickBot="1">
      <c r="A12" s="1"/>
      <c r="B12" s="1"/>
      <c r="C12" s="166" t="s">
        <v>21</v>
      </c>
      <c r="D12" s="167"/>
      <c r="E12" s="168" t="s">
        <v>116</v>
      </c>
      <c r="F12" s="169"/>
      <c r="G12" s="41"/>
      <c r="H12" s="39">
        <v>0.25</v>
      </c>
      <c r="I12" s="47"/>
      <c r="J12" s="37"/>
      <c r="K12" s="37"/>
    </row>
    <row r="13" spans="1:11" s="1" customFormat="1"/>
    <row r="14" spans="1:11" s="1" customFormat="1"/>
    <row r="15" spans="1:11" s="1" customFormat="1"/>
    <row r="16" spans="1:11" s="1" customFormat="1" ht="15" thickBot="1"/>
    <row r="17" spans="1:10">
      <c r="A17" s="1"/>
      <c r="B17" s="1"/>
      <c r="C17" s="259" t="s">
        <v>117</v>
      </c>
      <c r="D17" s="261" t="s">
        <v>118</v>
      </c>
      <c r="E17" s="262"/>
      <c r="F17" s="263" t="s">
        <v>119</v>
      </c>
      <c r="G17" s="265" t="s">
        <v>120</v>
      </c>
      <c r="H17" s="35"/>
      <c r="I17" s="254" t="s">
        <v>121</v>
      </c>
      <c r="J17" s="254" t="s">
        <v>122</v>
      </c>
    </row>
    <row r="18" spans="1:10" ht="36" customHeight="1" thickBot="1">
      <c r="A18" s="1"/>
      <c r="B18" s="1"/>
      <c r="C18" s="260"/>
      <c r="D18" s="110" t="s">
        <v>123</v>
      </c>
      <c r="E18" s="111" t="s">
        <v>27</v>
      </c>
      <c r="F18" s="264"/>
      <c r="G18" s="266"/>
      <c r="H18" s="35"/>
      <c r="I18" s="255"/>
      <c r="J18" s="255"/>
    </row>
    <row r="19" spans="1:10" ht="65.25" customHeight="1">
      <c r="A19" s="1"/>
      <c r="B19" s="1"/>
      <c r="C19" s="129">
        <v>1</v>
      </c>
      <c r="D19" s="256" t="s">
        <v>32</v>
      </c>
      <c r="E19" s="112" t="str">
        <f>+IFERROR(INDEX(Hoja1!$E$2:$E$45,MATCH('Análisis Resultados'!C19,Hoja1!$H$2:$H$45,0)),"")</f>
        <v>Documento interno o adopción del MECI actualizado</v>
      </c>
      <c r="F19" s="113" t="str">
        <f>+IFERROR(VLOOKUP(C19,Hoja1!$H$2:$I$45,2,0),"")</f>
        <v>No</v>
      </c>
      <c r="G19" s="11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19" s="130">
        <f>+IF(F19="Si",1,IF(F19="En proceso",0.5,0))</f>
        <v>0</v>
      </c>
      <c r="J19" s="269">
        <f>+AVERAGE(I19:I30)</f>
        <v>0.66666666666666663</v>
      </c>
    </row>
    <row r="20" spans="1:10" ht="41.4">
      <c r="A20" s="1"/>
      <c r="B20" s="1"/>
      <c r="C20" s="129">
        <v>2</v>
      </c>
      <c r="D20" s="257"/>
      <c r="E20" s="115" t="str">
        <f>+IFERROR(INDEX(Hoja1!$E$2:$E$45,MATCH('Análisis Resultados'!C20,Hoja1!$H$2:$H$45,0)),"")</f>
        <v>Planes, programas y proyectos de acuerdo con las normas que rigen y atendiendo con su propósito fundamental institucional (misión)</v>
      </c>
      <c r="F20" s="116" t="str">
        <f>+IFERROR(VLOOKUP(C20,Hoja1!$H$2:$I$45,2,0),"")</f>
        <v>No</v>
      </c>
      <c r="G20" s="11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20" s="131">
        <f t="shared" ref="I20:I62" si="1">+IF(F20="Si",1,IF(F20="En proceso",0.5,0))</f>
        <v>0</v>
      </c>
      <c r="J20" s="270"/>
    </row>
    <row r="21" spans="1:10" ht="30.6">
      <c r="A21" s="1"/>
      <c r="B21" s="1"/>
      <c r="C21" s="129">
        <v>3</v>
      </c>
      <c r="D21" s="257"/>
      <c r="E21" s="115" t="str">
        <f>+IFERROR(INDEX(Hoja1!$E$2:$E$45,MATCH('Análisis Resultados'!C21,Hoja1!$H$2:$H$45,0)),"")</f>
        <v>Una estructura organizacional formalizada (organigrama)</v>
      </c>
      <c r="F21" s="116" t="str">
        <f>+IFERROR(VLOOKUP(C21,Hoja1!$H$2:$I$45,2,0),"")</f>
        <v>En proceso</v>
      </c>
      <c r="G21" s="117" t="str">
        <f t="shared" si="0"/>
        <v>Se encuentra en proceso, pero requiere continuar con acciones dirigidas a contar con dicho aspecto de control.</v>
      </c>
      <c r="I21" s="131">
        <f t="shared" si="1"/>
        <v>0.5</v>
      </c>
      <c r="J21" s="270"/>
    </row>
    <row r="22" spans="1:10" ht="56.25" customHeight="1">
      <c r="A22" s="1"/>
      <c r="B22" s="1"/>
      <c r="C22" s="129">
        <v>4</v>
      </c>
      <c r="D22" s="257"/>
      <c r="E22" s="115" t="str">
        <f>+IFERROR(INDEX(Hoja1!$E$2:$E$45,MATCH('Análisis Resultados'!C22,Hoja1!$H$2:$H$45,0)),"")</f>
        <v>La documentación de sus procesos y procedimientos o bien una lista de actividades principales que permitan conocer el estado de su gestión</v>
      </c>
      <c r="F22" s="116" t="str">
        <f>+IFERROR(VLOOKUP(C22,Hoja1!$H$2:$I$45,2,0),"")</f>
        <v>En proceso</v>
      </c>
      <c r="G22" s="117" t="str">
        <f t="shared" si="0"/>
        <v>Se encuentra en proceso, pero requiere continuar con acciones dirigidas a contar con dicho aspecto de control.</v>
      </c>
      <c r="I22" s="131">
        <f t="shared" si="1"/>
        <v>0.5</v>
      </c>
      <c r="J22" s="270"/>
    </row>
    <row r="23" spans="1:10" ht="41.4">
      <c r="A23" s="1"/>
      <c r="B23" s="1"/>
      <c r="C23" s="129">
        <v>5</v>
      </c>
      <c r="D23" s="257"/>
      <c r="E23" s="115" t="str">
        <f>+IFERROR(INDEX(Hoja1!$E$2:$E$45,MATCH('Análisis Resultados'!C23,Hoja1!$H$2:$H$45,0)),"")</f>
        <v>Vinculación de los servidores públicos de acuerdo con el marco normativo que les rige (carrera administrativa, libre nombramiento y remoción, entre otros)</v>
      </c>
      <c r="F23" s="116" t="str">
        <f>+IFERROR(VLOOKUP(C23,Hoja1!$H$2:$I$45,2,0),"")</f>
        <v>En proceso</v>
      </c>
      <c r="G23" s="117" t="str">
        <f t="shared" si="0"/>
        <v>Se encuentra en proceso, pero requiere continuar con acciones dirigidas a contar con dicho aspecto de control.</v>
      </c>
      <c r="I23" s="131">
        <f t="shared" si="1"/>
        <v>0.5</v>
      </c>
      <c r="J23" s="270"/>
    </row>
    <row r="24" spans="1:10" ht="41.4">
      <c r="A24" s="1"/>
      <c r="B24" s="1"/>
      <c r="C24" s="129">
        <v>6</v>
      </c>
      <c r="D24" s="257"/>
      <c r="E24" s="115" t="str">
        <f>+IFERROR(INDEX(Hoja1!$E$2:$E$45,MATCH('Análisis Resultados'!C24,Hoja1!$H$2:$H$45,0)),"")</f>
        <v>Procesos de inducción, capacitación y bienestar social para sus servidores públicos, de manera directa o en asociación con otras entidades municipales</v>
      </c>
      <c r="F24" s="116" t="str">
        <f>+IFERROR(VLOOKUP(C24,Hoja1!$H$2:$I$45,2,0),"")</f>
        <v>En proceso</v>
      </c>
      <c r="G24" s="117" t="str">
        <f t="shared" si="0"/>
        <v>Se encuentra en proceso, pero requiere continuar con acciones dirigidas a contar con dicho aspecto de control.</v>
      </c>
      <c r="I24" s="131">
        <f t="shared" si="1"/>
        <v>0.5</v>
      </c>
      <c r="J24" s="270"/>
    </row>
    <row r="25" spans="1:10" ht="41.4">
      <c r="A25" s="1"/>
      <c r="B25" s="1"/>
      <c r="C25" s="129">
        <v>7</v>
      </c>
      <c r="D25" s="257"/>
      <c r="E25" s="115" t="str">
        <f>+IFERROR(INDEX(Hoja1!$E$2:$E$45,MATCH('Análisis Resultados'!C25,Hoja1!$H$2:$H$45,0)),"")</f>
        <v>Un documento tal como un código de ética, integridad u otro que formalice los estándares de conducta, los principios institucionales o los valores del servicio público</v>
      </c>
      <c r="F25" s="116" t="str">
        <f>+IFERROR(VLOOKUP(C25,Hoja1!$H$2:$I$45,2,0),"")</f>
        <v>Si</v>
      </c>
      <c r="G25" s="117" t="str">
        <f t="shared" si="0"/>
        <v>Existe requerimiento pero se requiere actividades  dirigidas a su mantenimiento dentro del marco de las lineas de defensa.</v>
      </c>
      <c r="I25" s="131">
        <f t="shared" si="1"/>
        <v>1</v>
      </c>
      <c r="J25" s="270"/>
    </row>
    <row r="26" spans="1:10" ht="30.6">
      <c r="A26" s="1"/>
      <c r="B26" s="1"/>
      <c r="C26" s="129">
        <v>8</v>
      </c>
      <c r="D26" s="257"/>
      <c r="E26" s="115" t="str">
        <f>+IFERROR(INDEX(Hoja1!$E$2:$E$45,MATCH('Análisis Resultados'!C26,Hoja1!$H$2:$H$45,0)),"")</f>
        <v>Un manual de funciones que describa los empleos de la entidad</v>
      </c>
      <c r="F26" s="116" t="str">
        <f>+IFERROR(VLOOKUP(C26,Hoja1!$H$2:$I$45,2,0),"")</f>
        <v>Si</v>
      </c>
      <c r="G26" s="117" t="str">
        <f t="shared" si="0"/>
        <v>Existe requerimiento pero se requiere actividades  dirigidas a su mantenimiento dentro del marco de las lineas de defensa.</v>
      </c>
      <c r="I26" s="131">
        <f t="shared" si="1"/>
        <v>1</v>
      </c>
      <c r="J26" s="270"/>
    </row>
    <row r="27" spans="1:10" ht="30.6">
      <c r="A27" s="1"/>
      <c r="B27" s="1"/>
      <c r="C27" s="129">
        <v>9</v>
      </c>
      <c r="D27" s="257"/>
      <c r="E27" s="115" t="str">
        <f>+IFERROR(INDEX(Hoja1!$E$2:$E$45,MATCH('Análisis Resultados'!C27,Hoja1!$H$2:$H$45,0)),"")</f>
        <v>Evaluación a los servidores públicos de acuerdo con el marco normativo que le rige</v>
      </c>
      <c r="F27" s="116" t="str">
        <f>+IFERROR(VLOOKUP(C27,Hoja1!$H$2:$I$45,2,0),"")</f>
        <v>Si</v>
      </c>
      <c r="G27" s="117" t="str">
        <f t="shared" si="0"/>
        <v>Existe requerimiento pero se requiere actividades  dirigidas a su mantenimiento dentro del marco de las lineas de defensa.</v>
      </c>
      <c r="I27" s="131">
        <f t="shared" si="1"/>
        <v>1</v>
      </c>
      <c r="J27" s="270"/>
    </row>
    <row r="28" spans="1:10" ht="30.6">
      <c r="A28" s="1"/>
      <c r="B28" s="1"/>
      <c r="C28" s="129">
        <v>10</v>
      </c>
      <c r="D28" s="257"/>
      <c r="E28" s="115" t="str">
        <f>+IFERROR(INDEX(Hoja1!$E$2:$E$45,MATCH('Análisis Resultados'!C28,Hoja1!$H$2:$H$45,0)),"")</f>
        <v>Procesos de desvinculación de servidores de acuerdo con lo previsto en la Constitución Política y las leyes</v>
      </c>
      <c r="F28" s="116" t="str">
        <f>+IFERROR(VLOOKUP(C28,Hoja1!$H$2:$I$45,2,0),"")</f>
        <v>Si</v>
      </c>
      <c r="G28" s="117" t="str">
        <f t="shared" si="0"/>
        <v>Existe requerimiento pero se requiere actividades  dirigidas a su mantenimiento dentro del marco de las lineas de defensa.</v>
      </c>
      <c r="I28" s="131">
        <f t="shared" si="1"/>
        <v>1</v>
      </c>
      <c r="J28" s="270"/>
    </row>
    <row r="29" spans="1:10" ht="30.6">
      <c r="A29" s="1"/>
      <c r="B29" s="1"/>
      <c r="C29" s="129">
        <v>11</v>
      </c>
      <c r="D29" s="257"/>
      <c r="E29" s="115" t="str">
        <f>+IFERROR(INDEX(Hoja1!$E$2:$E$45,MATCH('Análisis Resultados'!C29,Hoja1!$H$2:$H$45,0)),"")</f>
        <v>Mecanismos de rendición de cuentas a la ciudadanía</v>
      </c>
      <c r="F29" s="116" t="str">
        <f>+IFERROR(VLOOKUP(C29,Hoja1!$H$2:$I$45,2,0),"")</f>
        <v>Si</v>
      </c>
      <c r="G29" s="11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31">
        <f t="shared" si="1"/>
        <v>1</v>
      </c>
      <c r="J29" s="270"/>
    </row>
    <row r="30" spans="1:10" ht="31.2" thickBot="1">
      <c r="A30" s="1"/>
      <c r="B30" s="1"/>
      <c r="C30" s="129">
        <v>12</v>
      </c>
      <c r="D30" s="258"/>
      <c r="E30" s="118" t="str">
        <f>+IFERROR(INDEX(Hoja1!$E$2:$E$45,MATCH('Análisis Resultados'!C30,Hoja1!$H$2:$H$45,0)),"")</f>
        <v>Presentación oportuna de sus informes de gestión a las autoridades competentes</v>
      </c>
      <c r="F30" s="119" t="str">
        <f>+IFERROR(VLOOKUP(C30,Hoja1!$H$2:$I$45,2,0),"")</f>
        <v>Si</v>
      </c>
      <c r="G30" s="120" t="str">
        <f t="shared" si="0"/>
        <v>Existe requerimiento pero se requiere actividades  dirigidas a su mantenimiento dentro del marco de las lineas de defensa.</v>
      </c>
      <c r="I30" s="132">
        <f t="shared" si="1"/>
        <v>1</v>
      </c>
      <c r="J30" s="271"/>
    </row>
    <row r="31" spans="1:10" ht="45" customHeight="1">
      <c r="A31" s="1"/>
      <c r="B31" s="1"/>
      <c r="C31" s="129">
        <v>13</v>
      </c>
      <c r="D31" s="283" t="s">
        <v>61</v>
      </c>
      <c r="E31" s="112" t="str">
        <f>+IFERROR(INDEX(Hoja1!$E$2:$E$45,MATCH('Análisis Resultados'!C31,Hoja1!$H$2:$H$45,0)),"")</f>
        <v>La identificación  de los riesgos relacionados con posibles actos de corrupción en el ejercicio de sus funciones</v>
      </c>
      <c r="F31" s="113" t="str">
        <f>+IFERROR(VLOOKUP(C31,Hoja1!$H$2:$I$45,2,0),"")</f>
        <v>No</v>
      </c>
      <c r="G31" s="114" t="str">
        <f t="shared" si="0"/>
        <v>No se encuentra el aspecto  por lo tanto la entidad debera generar acciones dirigidas a que se cumpla con el requerimiento.</v>
      </c>
      <c r="I31" s="130">
        <f t="shared" si="1"/>
        <v>0</v>
      </c>
      <c r="J31" s="267">
        <f>+AVERAGE(I31:I40)</f>
        <v>0.3</v>
      </c>
    </row>
    <row r="32" spans="1:10" ht="57" customHeight="1">
      <c r="A32" s="1"/>
      <c r="B32" s="1"/>
      <c r="C32" s="129">
        <v>14</v>
      </c>
      <c r="D32" s="284"/>
      <c r="E32" s="115" t="str">
        <f>+IFERROR(INDEX(Hoja1!$E$2:$E$45,MATCH('Análisis Resultados'!C32,Hoja1!$H$2:$H$45,0)),"")</f>
        <v>Si su capacidad e infraestructura lo permite, identificación de riesgos asociados a las tecnologías de la información y las comunicaciones</v>
      </c>
      <c r="F32" s="116" t="str">
        <f>+IFERROR(VLOOKUP(C32,Hoja1!$H$2:$I$45,2,0),"")</f>
        <v>No</v>
      </c>
      <c r="G32" s="117" t="str">
        <f t="shared" si="0"/>
        <v>No se encuentra el aspecto  por lo tanto la entidad debera generar acciones dirigidas a que se cumpla con el requerimiento.</v>
      </c>
      <c r="I32" s="131">
        <f t="shared" si="1"/>
        <v>0</v>
      </c>
      <c r="J32" s="268"/>
    </row>
    <row r="33" spans="1:10" ht="54" customHeight="1">
      <c r="A33" s="1"/>
      <c r="B33" s="1"/>
      <c r="C33" s="129">
        <v>15</v>
      </c>
      <c r="D33" s="284"/>
      <c r="E33" s="115" t="str">
        <f>+IFERROR(INDEX(Hoja1!$E$2:$E$45,MATCH('Análisis Resultados'!C33,Hoja1!$H$2:$H$45,0)),"")</f>
        <v>Hacen seguimiento a los problemas (riesgos)  que pueden afectar el cumplimiento de sus procesos, programas o proyectos a cargo</v>
      </c>
      <c r="F33" s="116" t="str">
        <f>+IFERROR(VLOOKUP(C33,Hoja1!$H$2:$I$45,2,0),"")</f>
        <v>No</v>
      </c>
      <c r="G33" s="117" t="str">
        <f t="shared" si="0"/>
        <v>No se encuentra el aspecto  por lo tanto la entidad debera generar acciones dirigidas a que se cumpla con el requerimiento.</v>
      </c>
      <c r="I33" s="131">
        <f t="shared" si="1"/>
        <v>0</v>
      </c>
      <c r="J33" s="268"/>
    </row>
    <row r="34" spans="1:10" ht="30.6">
      <c r="A34" s="1"/>
      <c r="B34" s="1"/>
      <c r="C34" s="129">
        <v>16</v>
      </c>
      <c r="D34" s="284"/>
      <c r="E34" s="115" t="str">
        <f>+IFERROR(INDEX(Hoja1!$E$2:$E$45,MATCH('Análisis Resultados'!C34,Hoja1!$H$2:$H$45,0)),"")</f>
        <v>Informan de manera periódica a quien corresponda sobre el desempeño de las actividades de gestión de riesgos</v>
      </c>
      <c r="F34" s="116" t="str">
        <f>+IFERROR(VLOOKUP(C34,Hoja1!$H$2:$I$45,2,0),"")</f>
        <v>No</v>
      </c>
      <c r="G34" s="117" t="str">
        <f t="shared" si="0"/>
        <v>No se encuentra el aspecto  por lo tanto la entidad debera generar acciones dirigidas a que se cumpla con el requerimiento.</v>
      </c>
      <c r="I34" s="131">
        <f t="shared" si="1"/>
        <v>0</v>
      </c>
      <c r="J34" s="268"/>
    </row>
    <row r="35" spans="1:10" ht="67.5" customHeight="1">
      <c r="A35" s="1"/>
      <c r="B35" s="1"/>
      <c r="C35" s="129">
        <v>17</v>
      </c>
      <c r="D35" s="284"/>
      <c r="E35" s="115" t="str">
        <f>+IFERROR(INDEX(Hoja1!$E$2:$E$45,MATCH('Análisis Resultados'!C35,Hoja1!$H$2:$H$45,0)),"")</f>
        <v>Identifican deficiencias en las maneras de  controlar los riesgos o problemas en sus procesos, programas o proyectos, y propone los ajustes necesarios</v>
      </c>
      <c r="F35" s="116" t="str">
        <f>+IFERROR(VLOOKUP(C35,Hoja1!$H$2:$I$45,2,0),"")</f>
        <v>No</v>
      </c>
      <c r="G35" s="117" t="str">
        <f t="shared" si="0"/>
        <v>No se encuentra el aspecto  por lo tanto la entidad debera generar acciones dirigidas a que se cumpla con el requerimiento.</v>
      </c>
      <c r="I35" s="131">
        <f t="shared" si="1"/>
        <v>0</v>
      </c>
      <c r="J35" s="268"/>
    </row>
    <row r="36" spans="1:10" ht="30.6">
      <c r="A36" s="1"/>
      <c r="B36" s="1"/>
      <c r="C36" s="129">
        <v>18</v>
      </c>
      <c r="D36" s="284"/>
      <c r="E36" s="115" t="str">
        <f>+IFERROR(INDEX(Hoja1!$E$2:$E$45,MATCH('Análisis Resultados'!C36,Hoja1!$H$2:$H$45,0)),"")</f>
        <v>La identificación de cambios en su entorno que pueden generar consecuencias negativas en su gestión</v>
      </c>
      <c r="F36" s="116" t="str">
        <f>+IFERROR(VLOOKUP(C36,Hoja1!$H$2:$I$45,2,0),"")</f>
        <v>En proceso</v>
      </c>
      <c r="G36" s="117" t="str">
        <f t="shared" si="0"/>
        <v>Se encuentra en proceso, pero requiere continuar con acciones dirigidas a contar con dicho aspecto de control.</v>
      </c>
      <c r="I36" s="131">
        <f t="shared" si="1"/>
        <v>0.5</v>
      </c>
      <c r="J36" s="268"/>
    </row>
    <row r="37" spans="1:10" ht="57" customHeight="1">
      <c r="A37" s="1"/>
      <c r="B37" s="1"/>
      <c r="C37" s="129">
        <v>19</v>
      </c>
      <c r="D37" s="284"/>
      <c r="E37" s="115" t="str">
        <f>+IFERROR(INDEX(Hoja1!$E$2:$E$45,MATCH('Análisis Resultados'!C37,Hoja1!$H$2:$H$45,0)),"")</f>
        <v>Se definen espacios de reunión para conocerlos y proponer acciones para su solución</v>
      </c>
      <c r="F37" s="116" t="str">
        <f>+IFERROR(VLOOKUP(C37,Hoja1!$H$2:$I$45,2,0),"")</f>
        <v>En proceso</v>
      </c>
      <c r="G37" s="117" t="str">
        <f t="shared" si="0"/>
        <v>Se encuentra en proceso, pero requiere continuar con acciones dirigidas a contar con dicho aspecto de control.</v>
      </c>
      <c r="I37" s="131">
        <f t="shared" si="1"/>
        <v>0.5</v>
      </c>
      <c r="J37" s="268"/>
    </row>
    <row r="38" spans="1:10" ht="30.6">
      <c r="A38" s="1"/>
      <c r="B38" s="1"/>
      <c r="C38" s="129">
        <v>20</v>
      </c>
      <c r="D38" s="284"/>
      <c r="E38" s="115" t="str">
        <f>+IFERROR(INDEX(Hoja1!$E$2:$E$45,MATCH('Análisis Resultados'!C38,Hoja1!$H$2:$H$45,0)),"")</f>
        <v>Cada líder del equipo autónomamente toma las acciones para solucionarlos.</v>
      </c>
      <c r="F38" s="116" t="str">
        <f>+IFERROR(VLOOKUP(C38,Hoja1!$H$2:$I$45,2,0),"")</f>
        <v>En proceso</v>
      </c>
      <c r="G38" s="117" t="str">
        <f t="shared" si="0"/>
        <v>Se encuentra en proceso, pero requiere continuar con acciones dirigidas a contar con dicho aspecto de control.</v>
      </c>
      <c r="I38" s="131">
        <f t="shared" si="1"/>
        <v>0.5</v>
      </c>
      <c r="J38" s="268"/>
    </row>
    <row r="39" spans="1:10" ht="30.6">
      <c r="A39" s="1"/>
      <c r="B39" s="1"/>
      <c r="C39" s="129">
        <v>21</v>
      </c>
      <c r="D39" s="284"/>
      <c r="E39" s="115" t="str">
        <f>+IFERROR(INDEX(Hoja1!$E$2:$E$45,MATCH('Análisis Resultados'!C39,Hoja1!$H$2:$H$45,0)),"")</f>
        <v>Solamente hasta que un organismo de control actúa se definen acciones de mejora.</v>
      </c>
      <c r="F39" s="116" t="str">
        <f>+IFERROR(VLOOKUP(C39,Hoja1!$H$2:$I$45,2,0),"")</f>
        <v>En proceso</v>
      </c>
      <c r="G39" s="117" t="str">
        <f t="shared" si="0"/>
        <v>Se encuentra en proceso, pero requiere continuar con acciones dirigidas a contar con dicho aspecto de control.</v>
      </c>
      <c r="I39" s="131">
        <f t="shared" si="1"/>
        <v>0.5</v>
      </c>
      <c r="J39" s="268"/>
    </row>
    <row r="40" spans="1:10" ht="42" thickBot="1">
      <c r="A40" s="1"/>
      <c r="B40" s="1"/>
      <c r="C40" s="129">
        <v>22</v>
      </c>
      <c r="D40" s="284"/>
      <c r="E40" s="121" t="str">
        <f>+IFERROR(INDEX(Hoja1!$E$2:$E$45,MATCH('Análisis Resultados'!C40,Hoja1!$H$2:$H$45,0)),"")</f>
        <v>La identificación de aquellos problemas o aspectos que pueden afectar el cumplimiento de los planes de la entidad y en general su gestión institucional (riesgos)</v>
      </c>
      <c r="F40" s="122" t="str">
        <f>+IFERROR(VLOOKUP(C40,Hoja1!$H$2:$I$45,2,0),"")</f>
        <v>Si</v>
      </c>
      <c r="G40" s="123" t="str">
        <f t="shared" si="0"/>
        <v>Existe requerimiento pero se requiere actividades  dirigidas a su mantenimiento dentro del marco de las lineas de defensa.</v>
      </c>
      <c r="I40" s="133">
        <f t="shared" si="1"/>
        <v>1</v>
      </c>
      <c r="J40" s="268"/>
    </row>
    <row r="41" spans="1:10" ht="87.75" customHeight="1">
      <c r="A41" s="1"/>
      <c r="B41" s="1"/>
      <c r="C41" s="129">
        <v>23</v>
      </c>
      <c r="D41" s="279" t="s">
        <v>79</v>
      </c>
      <c r="E41" s="112"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13" t="str">
        <f>+IFERROR(VLOOKUP(C41,Hoja1!$H$2:$I$45,2,0),"")</f>
        <v>No</v>
      </c>
      <c r="G41" s="114" t="str">
        <f t="shared" si="0"/>
        <v>No se encuentra el aspecto  por lo tanto la entidad debera generar acciones dirigidas a que se cumpla con el requerimiento.</v>
      </c>
      <c r="I41" s="130">
        <f t="shared" si="1"/>
        <v>0</v>
      </c>
      <c r="J41" s="267">
        <f>+AVERAGE(I41:I45)</f>
        <v>0.5</v>
      </c>
    </row>
    <row r="42" spans="1:10" ht="55.2">
      <c r="A42" s="1"/>
      <c r="B42" s="1"/>
      <c r="C42" s="129">
        <v>24</v>
      </c>
      <c r="D42" s="280"/>
      <c r="E42" s="115" t="str">
        <f>+IFERROR(INDEX(Hoja1!$E$2:$E$45,MATCH('Análisis Resultados'!C42,Hoja1!$H$2:$H$45,0)),"")</f>
        <v>La definición de acciones o actividades para para dar tratamiento a los problemas identificados (mitigación de riesgos), incluyendo aquellos asociados a posibles actos de corrupción</v>
      </c>
      <c r="F42" s="116" t="str">
        <f>+IFERROR(VLOOKUP(C42,Hoja1!$H$2:$I$45,2,0),"")</f>
        <v>En proceso</v>
      </c>
      <c r="G42" s="117" t="str">
        <f t="shared" si="0"/>
        <v>Se encuentra en proceso, pero requiere continuar con acciones dirigidas a contar con dicho aspecto de control.</v>
      </c>
      <c r="I42" s="131">
        <f t="shared" si="1"/>
        <v>0.5</v>
      </c>
      <c r="J42" s="268"/>
    </row>
    <row r="43" spans="1:10" ht="85.5" customHeight="1">
      <c r="A43" s="1"/>
      <c r="B43" s="1"/>
      <c r="C43" s="129">
        <v>25</v>
      </c>
      <c r="D43" s="280"/>
      <c r="E43" s="115" t="str">
        <f>+IFERROR(INDEX(Hoja1!$E$2:$E$45,MATCH('Análisis Resultados'!C43,Hoja1!$H$2:$H$45,0)),"")</f>
        <v>Mecanismos de verificación de si se están o no mitigando los riesgos, o en su defecto, elaboración de planes de contingencia para subsanar sus consecuencias</v>
      </c>
      <c r="F43" s="116" t="str">
        <f>+IFERROR(VLOOKUP(C43,Hoja1!$H$2:$I$45,2,0),"")</f>
        <v>En proceso</v>
      </c>
      <c r="G43" s="117" t="str">
        <f t="shared" si="0"/>
        <v>Se encuentra en proceso, pero requiere continuar con acciones dirigidas a contar con dicho aspecto de control.</v>
      </c>
      <c r="I43" s="131">
        <f t="shared" si="1"/>
        <v>0.5</v>
      </c>
      <c r="J43" s="268"/>
    </row>
    <row r="44" spans="1:10" ht="57" customHeight="1">
      <c r="A44" s="1"/>
      <c r="B44" s="1"/>
      <c r="C44" s="129">
        <v>26</v>
      </c>
      <c r="D44" s="280"/>
      <c r="E44" s="115" t="str">
        <f>+IFERROR(INDEX(Hoja1!$E$2:$E$45,MATCH('Análisis Resultados'!C44,Hoja1!$H$2:$H$45,0)),"")</f>
        <v>Planes, acciones o estrategias que permitan subsanar las consecuencias de la materialización de los riesgos, cuando se presentan</v>
      </c>
      <c r="F44" s="116" t="str">
        <f>+IFERROR(VLOOKUP(C44,Hoja1!$H$2:$I$45,2,0),"")</f>
        <v>En proceso</v>
      </c>
      <c r="G44" s="117" t="str">
        <f t="shared" si="0"/>
        <v>Se encuentra en proceso, pero requiere continuar con acciones dirigidas a contar con dicho aspecto de control.</v>
      </c>
      <c r="I44" s="131">
        <f t="shared" si="1"/>
        <v>0.5</v>
      </c>
      <c r="J44" s="268"/>
    </row>
    <row r="45" spans="1:10" ht="57" customHeight="1" thickBot="1">
      <c r="A45" s="1"/>
      <c r="B45" s="1"/>
      <c r="C45" s="129">
        <v>27</v>
      </c>
      <c r="D45" s="281"/>
      <c r="E45" s="118" t="str">
        <f>+IFERROR(INDEX(Hoja1!$E$2:$E$45,MATCH('Análisis Resultados'!C45,Hoja1!$H$2:$H$45,0)),"")</f>
        <v>Un plan anticorrupción y de servicio al ciudadano con los temas que le aplican, publicado en algún medio para conocimiento de la ciudadanía</v>
      </c>
      <c r="F45" s="119" t="str">
        <f>+IFERROR(VLOOKUP(C45,Hoja1!$H$2:$I$45,2,0),"")</f>
        <v>Si</v>
      </c>
      <c r="G45" s="120" t="str">
        <f t="shared" si="0"/>
        <v>Existe requerimiento pero se requiere actividades  dirigidas a su mantenimiento dentro del marco de las lineas de defensa.</v>
      </c>
      <c r="I45" s="132">
        <f t="shared" si="1"/>
        <v>1</v>
      </c>
      <c r="J45" s="282"/>
    </row>
    <row r="46" spans="1:10" ht="63.75" customHeight="1">
      <c r="A46" s="1"/>
      <c r="B46" s="1"/>
      <c r="C46" s="129">
        <v>28</v>
      </c>
      <c r="D46" s="278" t="s">
        <v>87</v>
      </c>
      <c r="E46" s="124" t="str">
        <f>+IFERROR(INDEX(Hoja1!$E$2:$E$45,MATCH('Análisis Resultados'!C46,Hoja1!$H$2:$H$45,0)),"")</f>
        <v>Responsables de la información institucional</v>
      </c>
      <c r="F46" s="125" t="str">
        <f>+IFERROR(VLOOKUP(C46,Hoja1!$H$2:$I$45,2,0),"")</f>
        <v>No</v>
      </c>
      <c r="G46" s="126" t="str">
        <f t="shared" si="0"/>
        <v>No se encuentra el aspecto  por lo tanto la entidad debera generar acciones dirigidas a que se cumpla con el requerimiento.</v>
      </c>
      <c r="I46" s="134">
        <f t="shared" si="1"/>
        <v>0</v>
      </c>
      <c r="J46" s="268">
        <f>+AVERAGE(I46:I52)</f>
        <v>0.6428571428571429</v>
      </c>
    </row>
    <row r="47" spans="1:10" ht="92.25" customHeight="1">
      <c r="A47" s="1"/>
      <c r="B47" s="1"/>
      <c r="C47" s="129">
        <v>29</v>
      </c>
      <c r="D47" s="278"/>
      <c r="E47" s="115" t="str">
        <f>+IFERROR(INDEX(Hoja1!$E$2:$E$45,MATCH('Análisis Resultados'!C47,Hoja1!$H$2:$H$45,0)),"")</f>
        <v>Identificación de información necesaria para la operación de la entidad (normograma, presupuesto, talento humano, infraestructura física y tecnológica)</v>
      </c>
      <c r="F47" s="116" t="str">
        <f>+IFERROR(VLOOKUP(C47,Hoja1!$H$2:$I$45,2,0),"")</f>
        <v>No</v>
      </c>
      <c r="G47" s="127" t="str">
        <f t="shared" si="0"/>
        <v>No se encuentra el aspecto  por lo tanto la entidad debera generar acciones dirigidas a que se cumpla con el requerimiento.</v>
      </c>
      <c r="I47" s="135">
        <f t="shared" si="1"/>
        <v>0</v>
      </c>
      <c r="J47" s="268"/>
    </row>
    <row r="48" spans="1:10" ht="66.75" customHeight="1">
      <c r="A48" s="1"/>
      <c r="B48" s="1"/>
      <c r="C48" s="129">
        <v>30</v>
      </c>
      <c r="D48" s="278"/>
      <c r="E48" s="115" t="str">
        <f>+IFERROR(INDEX(Hoja1!$E$2:$E$45,MATCH('Análisis Resultados'!C48,Hoja1!$H$2:$H$45,0)),"")</f>
        <v>Identificación de información que produce en el marco de su gestión (Para los ciudadanos, organismos de control, organismos gubernamentales, entre otros)</v>
      </c>
      <c r="F48" s="116" t="str">
        <f>+IFERROR(VLOOKUP(C48,Hoja1!$H$2:$I$45,2,0),"")</f>
        <v>En proceso</v>
      </c>
      <c r="G48" s="127" t="str">
        <f t="shared" si="0"/>
        <v>Se encuentra en proceso, pero requiere continuar con acciones dirigidas a contar con dicho aspecto de control.</v>
      </c>
      <c r="I48" s="135">
        <f t="shared" si="1"/>
        <v>0.5</v>
      </c>
      <c r="J48" s="268"/>
    </row>
    <row r="49" spans="1:10" ht="60" customHeight="1">
      <c r="A49" s="1"/>
      <c r="B49" s="1"/>
      <c r="C49" s="129">
        <v>31</v>
      </c>
      <c r="D49" s="278"/>
      <c r="E49" s="115" t="str">
        <f>+IFERROR(INDEX(Hoja1!$E$2:$E$45,MATCH('Análisis Resultados'!C49,Hoja1!$H$2:$H$45,0)),"")</f>
        <v>Canales de comunicación con los ciudadanos</v>
      </c>
      <c r="F49" s="116" t="str">
        <f>+IFERROR(VLOOKUP(C49,Hoja1!$H$2:$I$45,2,0),"")</f>
        <v>Si</v>
      </c>
      <c r="G49" s="127" t="str">
        <f t="shared" si="0"/>
        <v>Existe requerimiento pero se requiere actividades  dirigidas a su mantenimiento dentro del marco de las lineas de defensa.</v>
      </c>
      <c r="I49" s="135">
        <f t="shared" si="1"/>
        <v>1</v>
      </c>
      <c r="J49" s="268"/>
    </row>
    <row r="50" spans="1:10" ht="57" customHeight="1">
      <c r="A50" s="1"/>
      <c r="B50" s="1"/>
      <c r="C50" s="129">
        <v>32</v>
      </c>
      <c r="D50" s="278"/>
      <c r="E50" s="115" t="str">
        <f>+IFERROR(INDEX(Hoja1!$E$2:$E$45,MATCH('Análisis Resultados'!C50,Hoja1!$H$2:$H$45,0)),"")</f>
        <v>Canales de comunicación o mecanismos de reporte de información a otros organismos gubernamentales o de control</v>
      </c>
      <c r="F50" s="116" t="str">
        <f>+IFERROR(VLOOKUP(C50,Hoja1!$H$2:$I$45,2,0),"")</f>
        <v>Si</v>
      </c>
      <c r="G50" s="127" t="str">
        <f t="shared" si="0"/>
        <v>Existe requerimiento pero se requiere actividades  dirigidas a su mantenimiento dentro del marco de las lineas de defensa.</v>
      </c>
      <c r="I50" s="135">
        <f t="shared" si="1"/>
        <v>1</v>
      </c>
      <c r="J50" s="268"/>
    </row>
    <row r="51" spans="1:10" ht="57" customHeight="1">
      <c r="A51" s="1"/>
      <c r="B51" s="1"/>
      <c r="C51" s="129">
        <v>33</v>
      </c>
      <c r="D51" s="278"/>
      <c r="E51" s="115" t="str">
        <f>+IFERROR(INDEX(Hoja1!$E$2:$E$45,MATCH('Análisis Resultados'!C51,Hoja1!$H$2:$H$45,0)),"")</f>
        <v xml:space="preserve">Lineamientos para dar tratamiento a la información de carácter reservado </v>
      </c>
      <c r="F51" s="116" t="str">
        <f>+IFERROR(VLOOKUP(C51,Hoja1!$H$2:$I$45,2,0),"")</f>
        <v>Si</v>
      </c>
      <c r="G51" s="127" t="str">
        <f t="shared" si="0"/>
        <v>Existe requerimiento pero se requiere actividades  dirigidas a su mantenimiento dentro del marco de las lineas de defensa.</v>
      </c>
      <c r="I51" s="135">
        <f t="shared" si="1"/>
        <v>1</v>
      </c>
      <c r="J51" s="268"/>
    </row>
    <row r="52" spans="1:10" ht="42" thickBot="1">
      <c r="A52" s="1"/>
      <c r="B52" s="1"/>
      <c r="C52" s="129">
        <v>34</v>
      </c>
      <c r="D52" s="278"/>
      <c r="E52" s="121" t="str">
        <f>+IFERROR(INDEX(Hoja1!$E$2:$E$45,MATCH('Análisis Resultados'!C52,Hoja1!$H$2:$H$45,0)),"")</f>
        <v>Si su capacidad e infraestructura lo permite, tecnologías de la información y las comunicaciones que soporten estos procesos</v>
      </c>
      <c r="F52" s="122" t="str">
        <f>+IFERROR(VLOOKUP(C52,Hoja1!$H$2:$I$45,2,0),"")</f>
        <v>Si</v>
      </c>
      <c r="G52" s="128" t="str">
        <f t="shared" si="0"/>
        <v>Existe requerimiento pero se requiere actividades  dirigidas a su mantenimiento dentro del marco de las lineas de defensa.</v>
      </c>
      <c r="I52" s="136">
        <f t="shared" si="1"/>
        <v>1</v>
      </c>
      <c r="J52" s="268"/>
    </row>
    <row r="53" spans="1:10" ht="41.25" customHeight="1">
      <c r="A53" s="1"/>
      <c r="B53" s="1"/>
      <c r="C53" s="129">
        <v>35</v>
      </c>
      <c r="D53" s="272" t="s">
        <v>97</v>
      </c>
      <c r="E53" s="112" t="str">
        <f>+IFERROR(INDEX(Hoja1!$E$2:$E$45,MATCH('Análisis Resultados'!C53,Hoja1!$H$2:$H$45,0)),"")</f>
        <v>Mecanismos de evaluación de la gestión (cronogramas, indicadores, listas de chequeo u otros)</v>
      </c>
      <c r="F53" s="113" t="str">
        <f>+IFERROR(VLOOKUP(C53,Hoja1!$H$2:$I$45,2,0),"")</f>
        <v>No</v>
      </c>
      <c r="G53" s="114" t="str">
        <f t="shared" si="0"/>
        <v>No se encuentra el aspecto  por lo tanto la entidad debera generar acciones dirigidas a que se cumpla con el requerimiento.</v>
      </c>
      <c r="I53" s="130">
        <f t="shared" si="1"/>
        <v>0</v>
      </c>
      <c r="J53" s="275">
        <f>+AVERAGE(I53:I62)</f>
        <v>0.45</v>
      </c>
    </row>
    <row r="54" spans="1:10" ht="58.5" customHeight="1">
      <c r="A54" s="1"/>
      <c r="B54" s="1"/>
      <c r="C54" s="129">
        <v>36</v>
      </c>
      <c r="D54" s="273"/>
      <c r="E54" s="115" t="str">
        <f>+IFERROR(INDEX(Hoja1!$E$2:$E$45,MATCH('Análisis Resultados'!C54,Hoja1!$H$2:$H$45,0)),"")</f>
        <v>Seguimiento a los planes de mejoramiento suscritos con instancias de control internas o externas</v>
      </c>
      <c r="F54" s="116" t="str">
        <f>+IFERROR(VLOOKUP(C54,Hoja1!$H$2:$I$45,2,0),"")</f>
        <v>No</v>
      </c>
      <c r="G54" s="117" t="str">
        <f t="shared" si="0"/>
        <v>No se encuentra el aspecto  por lo tanto la entidad debera generar acciones dirigidas a que se cumpla con el requerimiento.</v>
      </c>
      <c r="I54" s="131">
        <f t="shared" si="1"/>
        <v>0</v>
      </c>
      <c r="J54" s="276"/>
    </row>
    <row r="55" spans="1:10" s="1" customFormat="1" ht="84.75" customHeight="1">
      <c r="C55" s="129">
        <v>37</v>
      </c>
      <c r="D55" s="273"/>
      <c r="E55" s="115" t="str">
        <f>+IFERROR(INDEX(Hoja1!$E$2:$E$45,MATCH('Análisis Resultados'!C55,Hoja1!$H$2:$H$45,0)),"")</f>
        <v>Evitar que los problemas (riesgos) obstaculicen el cumplimiento de los objetivos.</v>
      </c>
      <c r="F55" s="116" t="str">
        <f>+IFERROR(VLOOKUP(C55,Hoja1!$H$2:$I$45,2,0),"")</f>
        <v>No</v>
      </c>
      <c r="G55" s="117" t="str">
        <f t="shared" si="0"/>
        <v>No se encuentra el aspecto  por lo tanto la entidad debera generar acciones dirigidas a que se cumpla con el requerimiento.</v>
      </c>
      <c r="I55" s="131">
        <f t="shared" si="1"/>
        <v>0</v>
      </c>
      <c r="J55" s="276"/>
    </row>
    <row r="56" spans="1:10" s="1" customFormat="1" ht="78.75" customHeight="1">
      <c r="C56" s="129">
        <v>38</v>
      </c>
      <c r="D56" s="273"/>
      <c r="E56" s="115" t="str">
        <f>+IFERROR(INDEX(Hoja1!$E$2:$E$45,MATCH('Análisis Resultados'!C56,Hoja1!$H$2:$H$45,0)),"")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6" s="116" t="str">
        <f>+IFERROR(VLOOKUP(C56,Hoja1!$H$2:$I$45,2,0),"")</f>
        <v>En proceso</v>
      </c>
      <c r="G56" s="117" t="str">
        <f t="shared" si="0"/>
        <v>Se encuentra en proceso, pero requiere continuar con acciones dirigidas a contar con dicho aspecto de control.</v>
      </c>
      <c r="I56" s="131">
        <f t="shared" si="1"/>
        <v>0.5</v>
      </c>
      <c r="J56" s="276"/>
    </row>
    <row r="57" spans="1:10" s="1" customFormat="1" ht="54.75" customHeight="1">
      <c r="C57" s="129">
        <v>39</v>
      </c>
      <c r="D57" s="273"/>
      <c r="E57" s="115" t="str">
        <f>+IFERROR(INDEX(Hoja1!$E$2:$E$45,MATCH('Análisis Resultados'!C57,Hoja1!$H$2:$H$45,0)),"")</f>
        <v>Controlar los puntos críticos en los procesos.</v>
      </c>
      <c r="F57" s="116" t="str">
        <f>+IFERROR(VLOOKUP(C57,Hoja1!$H$2:$I$45,2,0),"")</f>
        <v>En proceso</v>
      </c>
      <c r="G57" s="117" t="str">
        <f t="shared" si="0"/>
        <v>Se encuentra en proceso, pero requiere continuar con acciones dirigidas a contar con dicho aspecto de control.</v>
      </c>
      <c r="I57" s="131">
        <f t="shared" si="1"/>
        <v>0.5</v>
      </c>
      <c r="J57" s="276"/>
    </row>
    <row r="58" spans="1:10" s="1" customFormat="1" ht="68.25" customHeight="1">
      <c r="C58" s="129">
        <v>40</v>
      </c>
      <c r="D58" s="273"/>
      <c r="E58" s="115" t="str">
        <f>+IFERROR(INDEX(Hoja1!$E$2:$E$45,MATCH('Análisis Resultados'!C58,Hoja1!$H$2:$H$45,0)),"")</f>
        <v>Diseñar acciones adecuadas para controlar los problemas que afectan el cumplimiento de las metas y objetivos institucionales (riesgos).</v>
      </c>
      <c r="F58" s="116" t="str">
        <f>+IFERROR(VLOOKUP(C58,Hoja1!$H$2:$I$45,2,0),"")</f>
        <v>En proceso</v>
      </c>
      <c r="G58" s="117" t="str">
        <f t="shared" si="0"/>
        <v>Se encuentra en proceso, pero requiere continuar con acciones dirigidas a contar con dicho aspecto de control.</v>
      </c>
      <c r="I58" s="131">
        <f t="shared" si="1"/>
        <v>0.5</v>
      </c>
      <c r="J58" s="276"/>
    </row>
    <row r="59" spans="1:10" s="1" customFormat="1" ht="45" customHeight="1">
      <c r="C59" s="129">
        <v>41</v>
      </c>
      <c r="D59" s="273"/>
      <c r="E59" s="115" t="str">
        <f>+IFERROR(INDEX(Hoja1!$E$2:$E$45,MATCH('Análisis Resultados'!C59,Hoja1!$H$2:$H$45,0)),"")</f>
        <v>Ejecutar las acciones de acuerdo a como se diseñaron previamente.</v>
      </c>
      <c r="F59" s="116" t="str">
        <f>+IFERROR(VLOOKUP(C59,Hoja1!$H$2:$I$45,2,0),"")</f>
        <v>En proceso</v>
      </c>
      <c r="G59" s="117" t="str">
        <f t="shared" si="0"/>
        <v>Se encuentra en proceso, pero requiere continuar con acciones dirigidas a contar con dicho aspecto de control.</v>
      </c>
      <c r="I59" s="131">
        <f t="shared" si="1"/>
        <v>0.5</v>
      </c>
      <c r="J59" s="276"/>
    </row>
    <row r="60" spans="1:10" s="1" customFormat="1" ht="51.75" customHeight="1">
      <c r="C60" s="129">
        <v>42</v>
      </c>
      <c r="D60" s="273"/>
      <c r="E60" s="115" t="str">
        <f>+IFERROR(INDEX(Hoja1!$E$2:$E$45,MATCH('Análisis Resultados'!C60,Hoja1!$H$2:$H$45,0)),"")</f>
        <v>No se gestionan los problemas que afectan el cumplimiento de las funciones y objetivos institucionales(riesgos).</v>
      </c>
      <c r="F60" s="116" t="str">
        <f>+IFERROR(VLOOKUP(C60,Hoja1!$H$2:$I$45,2,0),"")</f>
        <v>En proceso</v>
      </c>
      <c r="G60" s="117" t="str">
        <f t="shared" si="0"/>
        <v>Se encuentra en proceso, pero requiere continuar con acciones dirigidas a contar con dicho aspecto de control.</v>
      </c>
      <c r="I60" s="131">
        <f t="shared" si="1"/>
        <v>0.5</v>
      </c>
      <c r="J60" s="276"/>
    </row>
    <row r="61" spans="1:10" s="1" customFormat="1" ht="84" customHeight="1">
      <c r="C61" s="129">
        <v>43</v>
      </c>
      <c r="D61" s="273"/>
      <c r="E61" s="115" t="str">
        <f>+IFERROR(INDEX(Hoja1!$E$2:$E$45,MATCH('Análisis Resultados'!C61,Hoja1!$H$2:$H$45,0)),"")</f>
        <v>Medidas correctivas en caso de detectarse deficiencias en los ejercicios de evaluación, seguimiento o auditoría</v>
      </c>
      <c r="F61" s="116" t="str">
        <f>+IFERROR(VLOOKUP(C61,Hoja1!$H$2:$I$45,2,0),"")</f>
        <v>Si</v>
      </c>
      <c r="G61" s="117" t="str">
        <f t="shared" si="0"/>
        <v>Existe requerimiento pero se requiere actividades  dirigidas a su mantenimiento dentro del marco de las lineas de defensa.</v>
      </c>
      <c r="I61" s="131">
        <f t="shared" si="1"/>
        <v>1</v>
      </c>
      <c r="J61" s="276"/>
    </row>
    <row r="62" spans="1:10" s="1" customFormat="1" ht="60" customHeight="1" thickBot="1">
      <c r="C62" s="129">
        <v>44</v>
      </c>
      <c r="D62" s="274"/>
      <c r="E62" s="118" t="str">
        <f>+IFERROR(INDEX(Hoja1!$E$2:$E$45,MATCH('Análisis Resultados'!C62,Hoja1!$H$2:$H$45,0)),"")</f>
        <v>La entidad participa en el  Comité Municipal de Auditoría?</v>
      </c>
      <c r="F62" s="119" t="str">
        <f>+IFERROR(VLOOKUP(C62,Hoja1!$H$2:$I$45,2,0),"")</f>
        <v>Si</v>
      </c>
      <c r="G62" s="120" t="str">
        <f t="shared" si="0"/>
        <v>Existe requerimiento pero se requiere actividades  dirigidas a su mantenimiento dentro del marco de las lineas de defensa.</v>
      </c>
      <c r="I62" s="132">
        <f t="shared" si="1"/>
        <v>1</v>
      </c>
      <c r="J62" s="277"/>
    </row>
    <row r="63" spans="1:10" s="1" customFormat="1"/>
    <row r="64" spans="1:10" s="1" customFormat="1"/>
    <row r="65" spans="1:2" s="1" customFormat="1"/>
    <row r="66" spans="1:2" s="1" customFormat="1"/>
    <row r="67" spans="1:2" s="1" customFormat="1"/>
    <row r="68" spans="1:2" s="1" customFormat="1"/>
    <row r="69" spans="1:2" s="1" customFormat="1"/>
    <row r="70" spans="1:2" s="1" customFormat="1"/>
    <row r="71" spans="1:2">
      <c r="A71" s="1"/>
      <c r="B71" s="1"/>
    </row>
    <row r="72" spans="1:2">
      <c r="A72" s="1"/>
      <c r="B72" s="1"/>
    </row>
    <row r="73" spans="1:2">
      <c r="A73" s="1"/>
      <c r="B73" s="1"/>
    </row>
    <row r="74" spans="1:2">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6" priority="4" operator="between">
      <formula>0.75</formula>
      <formula>1</formula>
    </cfRule>
    <cfRule type="cellIs" dxfId="15" priority="5" operator="between">
      <formula>0.5</formula>
      <formula>0.74</formula>
    </cfRule>
    <cfRule type="cellIs" dxfId="14" priority="6" operator="between">
      <formula>0</formula>
      <formula>0.49</formula>
    </cfRule>
  </conditionalFormatting>
  <conditionalFormatting sqref="J19:J31 J41 J46 J53">
    <cfRule type="cellIs" priority="1" operator="between">
      <formula>0.75</formula>
      <formula>1</formula>
    </cfRule>
    <cfRule type="cellIs" dxfId="13" priority="2" operator="between">
      <formula>0.5</formula>
      <formula>0.75</formula>
    </cfRule>
    <cfRule type="cellIs" dxfId="12"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zoomScale="50" zoomScaleNormal="50" workbookViewId="0">
      <selection activeCell="C20" sqref="C20:D20"/>
    </sheetView>
  </sheetViews>
  <sheetFormatPr baseColWidth="10" defaultColWidth="11.44140625" defaultRowHeight="14.4"/>
  <cols>
    <col min="1" max="1" width="4.44140625" customWidth="1"/>
    <col min="3" max="3" width="35.5546875" customWidth="1"/>
    <col min="4" max="4" width="13" customWidth="1"/>
    <col min="5" max="5" width="43.33203125" customWidth="1"/>
    <col min="7" max="7" width="33.88671875" customWidth="1"/>
    <col min="9" max="9" width="92.33203125" customWidth="1"/>
    <col min="13" max="13" width="29" customWidth="1"/>
  </cols>
  <sheetData>
    <row r="1" spans="1:17" s="1" customFormat="1"/>
    <row r="2" spans="1:17" ht="15" thickBot="1">
      <c r="A2" s="1"/>
      <c r="B2" s="1"/>
      <c r="C2" s="1"/>
      <c r="D2" s="1"/>
      <c r="E2" s="1"/>
      <c r="F2" s="1"/>
      <c r="G2" s="1"/>
      <c r="H2" s="1"/>
      <c r="I2" s="1"/>
      <c r="J2" s="1"/>
      <c r="K2" s="1"/>
      <c r="L2" s="1"/>
      <c r="M2" s="1"/>
      <c r="N2" s="1"/>
      <c r="O2" s="1"/>
      <c r="P2" s="1"/>
      <c r="Q2" s="1"/>
    </row>
    <row r="3" spans="1:17" ht="15" thickTop="1">
      <c r="A3" s="1"/>
      <c r="B3" s="2"/>
      <c r="C3" s="3"/>
      <c r="D3" s="3"/>
      <c r="E3" s="3"/>
      <c r="F3" s="3"/>
      <c r="G3" s="3"/>
      <c r="H3" s="3"/>
      <c r="I3" s="3"/>
      <c r="J3" s="3"/>
      <c r="K3" s="3"/>
      <c r="L3" s="3"/>
      <c r="M3" s="3"/>
      <c r="N3" s="3"/>
      <c r="O3" s="3"/>
      <c r="P3" s="4"/>
      <c r="Q3" s="1"/>
    </row>
    <row r="4" spans="1:17">
      <c r="A4" s="1"/>
      <c r="B4" s="5"/>
      <c r="C4" s="1"/>
      <c r="D4" s="1"/>
      <c r="E4" s="298" t="s">
        <v>124</v>
      </c>
      <c r="F4" s="300" t="s">
        <v>191</v>
      </c>
      <c r="G4" s="300"/>
      <c r="H4" s="300"/>
      <c r="I4" s="300"/>
      <c r="J4" s="300"/>
      <c r="K4" s="300"/>
      <c r="L4" s="300"/>
      <c r="M4" s="300"/>
      <c r="N4" s="6"/>
      <c r="O4" s="6"/>
      <c r="P4" s="7"/>
      <c r="Q4" s="1"/>
    </row>
    <row r="5" spans="1:17" ht="45.75" customHeight="1">
      <c r="A5" s="1"/>
      <c r="B5" s="5"/>
      <c r="C5" s="1"/>
      <c r="D5" s="1"/>
      <c r="E5" s="299"/>
      <c r="F5" s="300"/>
      <c r="G5" s="300"/>
      <c r="H5" s="300"/>
      <c r="I5" s="300"/>
      <c r="J5" s="300"/>
      <c r="K5" s="300"/>
      <c r="L5" s="300"/>
      <c r="M5" s="300"/>
      <c r="N5" s="6"/>
      <c r="O5" s="6"/>
      <c r="P5" s="7"/>
      <c r="Q5" s="1"/>
    </row>
    <row r="6" spans="1:17" ht="66.75" customHeight="1">
      <c r="A6" s="1"/>
      <c r="B6" s="5"/>
      <c r="C6" s="1"/>
      <c r="D6" s="1"/>
      <c r="E6" s="88" t="s">
        <v>125</v>
      </c>
      <c r="F6" s="301" t="s">
        <v>192</v>
      </c>
      <c r="G6" s="302"/>
      <c r="H6" s="302"/>
      <c r="I6" s="302"/>
      <c r="J6" s="302"/>
      <c r="K6" s="302"/>
      <c r="L6" s="302"/>
      <c r="M6" s="303"/>
      <c r="N6" s="8"/>
      <c r="O6" s="8"/>
      <c r="P6" s="7"/>
      <c r="Q6" s="1"/>
    </row>
    <row r="7" spans="1:17" ht="15" thickBot="1">
      <c r="A7" s="1"/>
      <c r="B7" s="5"/>
      <c r="C7" s="1"/>
      <c r="D7" s="1"/>
      <c r="E7" s="9"/>
      <c r="F7" s="8"/>
      <c r="G7" s="8"/>
      <c r="H7" s="8"/>
      <c r="I7" s="8"/>
      <c r="J7" s="8"/>
      <c r="K7" s="8"/>
      <c r="L7" s="8"/>
      <c r="M7" s="1"/>
      <c r="N7" s="1"/>
      <c r="O7" s="1"/>
      <c r="P7" s="7"/>
      <c r="Q7" s="1"/>
    </row>
    <row r="8" spans="1:17" ht="97.5" customHeight="1" thickBot="1">
      <c r="A8" s="1"/>
      <c r="B8" s="5"/>
      <c r="C8" s="1"/>
      <c r="D8" s="1"/>
      <c r="E8" s="1"/>
      <c r="F8" s="1"/>
      <c r="G8" s="1"/>
      <c r="H8" s="1"/>
      <c r="I8" s="304" t="s">
        <v>126</v>
      </c>
      <c r="J8" s="305"/>
      <c r="K8" s="306"/>
      <c r="L8" s="1"/>
      <c r="M8" s="137">
        <f>+AVERAGE(G26,G28,G30,G32,G34)</f>
        <v>0.51190476190476197</v>
      </c>
      <c r="N8" s="10"/>
      <c r="O8" s="10"/>
      <c r="P8" s="7"/>
      <c r="Q8" s="1"/>
    </row>
    <row r="9" spans="1:17" ht="15.6">
      <c r="A9" s="1"/>
      <c r="B9" s="5"/>
      <c r="C9" s="1"/>
      <c r="D9" s="1"/>
      <c r="E9" s="1"/>
      <c r="F9" s="1"/>
      <c r="G9" s="1"/>
      <c r="H9" s="1"/>
      <c r="I9" s="1"/>
      <c r="J9" s="1"/>
      <c r="K9" s="1"/>
      <c r="L9" s="1"/>
      <c r="M9" s="11"/>
      <c r="N9" s="11"/>
      <c r="O9" s="11"/>
      <c r="P9" s="7"/>
      <c r="Q9" s="1"/>
    </row>
    <row r="10" spans="1:17">
      <c r="A10" s="1"/>
      <c r="B10" s="5"/>
      <c r="C10" s="1"/>
      <c r="D10" s="1"/>
      <c r="E10" s="1"/>
      <c r="F10" s="1"/>
      <c r="G10" s="1"/>
      <c r="H10" s="1"/>
      <c r="I10" s="1"/>
      <c r="J10" s="1"/>
      <c r="K10" s="1"/>
      <c r="L10" s="1"/>
      <c r="M10" s="1"/>
      <c r="N10" s="1"/>
      <c r="O10" s="1"/>
      <c r="P10" s="7"/>
      <c r="Q10" s="1"/>
    </row>
    <row r="11" spans="1:17">
      <c r="A11" s="1"/>
      <c r="B11" s="5"/>
      <c r="C11" s="1"/>
      <c r="D11" s="1"/>
      <c r="E11" s="1"/>
      <c r="F11" s="1"/>
      <c r="G11" s="1"/>
      <c r="H11" s="1"/>
      <c r="I11" s="1"/>
      <c r="J11" s="1"/>
      <c r="K11" s="1"/>
      <c r="L11" s="1"/>
      <c r="M11" s="1"/>
      <c r="N11" s="1"/>
      <c r="O11" s="1"/>
      <c r="P11" s="7"/>
      <c r="Q11" s="1"/>
    </row>
    <row r="12" spans="1:17">
      <c r="A12" s="1"/>
      <c r="B12" s="5"/>
      <c r="C12" s="1"/>
      <c r="D12" s="1"/>
      <c r="E12" s="1"/>
      <c r="F12" s="1"/>
      <c r="G12" s="1"/>
      <c r="H12" s="1"/>
      <c r="I12" s="1"/>
      <c r="J12" s="1"/>
      <c r="K12" s="1"/>
      <c r="L12" s="1"/>
      <c r="M12" s="1"/>
      <c r="N12" s="1"/>
      <c r="O12" s="1"/>
      <c r="P12" s="7"/>
      <c r="Q12" s="1"/>
    </row>
    <row r="13" spans="1:17">
      <c r="A13" s="1"/>
      <c r="B13" s="5"/>
      <c r="C13" s="1"/>
      <c r="D13" s="1"/>
      <c r="E13" s="1"/>
      <c r="F13" s="1"/>
      <c r="G13" s="1"/>
      <c r="H13" s="1"/>
      <c r="I13" s="1"/>
      <c r="J13" s="1"/>
      <c r="K13" s="1"/>
      <c r="L13" s="1"/>
      <c r="M13" s="1"/>
      <c r="N13" s="1"/>
      <c r="O13" s="1"/>
      <c r="P13" s="7"/>
      <c r="Q13" s="1"/>
    </row>
    <row r="14" spans="1:17">
      <c r="A14" s="1"/>
      <c r="B14" s="5"/>
      <c r="C14" s="1"/>
      <c r="D14" s="1"/>
      <c r="E14" s="1"/>
      <c r="F14" s="1"/>
      <c r="G14" s="1"/>
      <c r="H14" s="1"/>
      <c r="I14" s="1"/>
      <c r="J14" s="1"/>
      <c r="K14" s="1"/>
      <c r="L14" s="1"/>
      <c r="M14" s="1"/>
      <c r="N14" s="1"/>
      <c r="O14" s="1"/>
      <c r="P14" s="7"/>
      <c r="Q14" s="1"/>
    </row>
    <row r="15" spans="1:17">
      <c r="A15" s="1"/>
      <c r="B15" s="5"/>
      <c r="C15" s="1"/>
      <c r="D15" s="1"/>
      <c r="E15" s="1"/>
      <c r="F15" s="1"/>
      <c r="G15" s="1"/>
      <c r="H15" s="1"/>
      <c r="I15" s="1"/>
      <c r="J15" s="1"/>
      <c r="K15" s="1"/>
      <c r="L15" s="1"/>
      <c r="M15" s="1"/>
      <c r="N15" s="1"/>
      <c r="O15" s="1"/>
      <c r="P15" s="7"/>
      <c r="Q15" s="1"/>
    </row>
    <row r="16" spans="1:17">
      <c r="A16" s="1"/>
      <c r="B16" s="5"/>
      <c r="C16" s="1"/>
      <c r="D16" s="1"/>
      <c r="E16" s="1"/>
      <c r="F16" s="1"/>
      <c r="G16" s="1"/>
      <c r="H16" s="1"/>
      <c r="I16" s="1"/>
      <c r="J16" s="1"/>
      <c r="K16" s="1"/>
      <c r="L16" s="1"/>
      <c r="M16" s="1"/>
      <c r="N16" s="1"/>
      <c r="O16" s="1"/>
      <c r="P16" s="7"/>
      <c r="Q16" s="1"/>
    </row>
    <row r="17" spans="1:17">
      <c r="A17" s="1"/>
      <c r="B17" s="5"/>
      <c r="C17" s="1"/>
      <c r="D17" s="1"/>
      <c r="E17" s="1"/>
      <c r="F17" s="1"/>
      <c r="G17" s="1"/>
      <c r="H17" s="1"/>
      <c r="I17" s="1"/>
      <c r="J17" s="1"/>
      <c r="K17" s="1"/>
      <c r="L17" s="1"/>
      <c r="M17" s="1"/>
      <c r="N17" s="1"/>
      <c r="O17" s="1"/>
      <c r="P17" s="7"/>
      <c r="Q17" s="1"/>
    </row>
    <row r="18" spans="1:17" ht="22.8">
      <c r="A18" s="1"/>
      <c r="B18" s="5"/>
      <c r="C18" s="307" t="s">
        <v>127</v>
      </c>
      <c r="D18" s="308"/>
      <c r="E18" s="308"/>
      <c r="F18" s="308"/>
      <c r="G18" s="308"/>
      <c r="H18" s="308"/>
      <c r="I18" s="308"/>
      <c r="J18" s="308"/>
      <c r="K18" s="308"/>
      <c r="L18" s="308"/>
      <c r="M18" s="309"/>
      <c r="N18" s="12"/>
      <c r="O18" s="12"/>
      <c r="P18" s="7"/>
      <c r="Q18" s="1"/>
    </row>
    <row r="19" spans="1:17" ht="16.2" thickBot="1">
      <c r="A19" s="1"/>
      <c r="B19" s="5"/>
      <c r="C19" s="13"/>
      <c r="D19" s="13"/>
      <c r="E19" s="13"/>
      <c r="F19" s="13"/>
      <c r="G19" s="13"/>
      <c r="H19" s="13"/>
      <c r="I19" s="13"/>
      <c r="J19" s="13"/>
      <c r="K19" s="13"/>
      <c r="L19" s="13"/>
      <c r="M19" s="13"/>
      <c r="N19" s="14"/>
      <c r="O19" s="14"/>
      <c r="P19" s="7"/>
      <c r="Q19" s="1"/>
    </row>
    <row r="20" spans="1:17" ht="150" customHeight="1" thickBot="1">
      <c r="A20" s="1"/>
      <c r="B20" s="5"/>
      <c r="C20" s="310" t="s">
        <v>128</v>
      </c>
      <c r="D20" s="311"/>
      <c r="E20" s="140" t="s">
        <v>76</v>
      </c>
      <c r="F20" s="312" t="s">
        <v>199</v>
      </c>
      <c r="G20" s="312"/>
      <c r="H20" s="312"/>
      <c r="I20" s="312"/>
      <c r="J20" s="312"/>
      <c r="K20" s="312"/>
      <c r="L20" s="312"/>
      <c r="M20" s="313"/>
      <c r="N20" s="14"/>
      <c r="O20" s="14"/>
      <c r="P20" s="7"/>
      <c r="Q20" s="1"/>
    </row>
    <row r="21" spans="1:17" ht="166.8" customHeight="1" thickBot="1">
      <c r="A21" s="1"/>
      <c r="B21" s="5"/>
      <c r="C21" s="294" t="s">
        <v>129</v>
      </c>
      <c r="D21" s="295"/>
      <c r="E21" s="141" t="s">
        <v>36</v>
      </c>
      <c r="F21" s="312" t="s">
        <v>200</v>
      </c>
      <c r="G21" s="312"/>
      <c r="H21" s="312"/>
      <c r="I21" s="312"/>
      <c r="J21" s="312"/>
      <c r="K21" s="312"/>
      <c r="L21" s="312"/>
      <c r="M21" s="313"/>
      <c r="N21" s="14"/>
      <c r="O21" s="14"/>
      <c r="P21" s="7"/>
      <c r="Q21" s="1"/>
    </row>
    <row r="22" spans="1:17" ht="361.8" customHeight="1" thickBot="1">
      <c r="A22" s="1"/>
      <c r="B22" s="5"/>
      <c r="C22" s="296" t="s">
        <v>130</v>
      </c>
      <c r="D22" s="297"/>
      <c r="E22" s="142" t="s">
        <v>36</v>
      </c>
      <c r="F22" s="312" t="s">
        <v>201</v>
      </c>
      <c r="G22" s="312"/>
      <c r="H22" s="312"/>
      <c r="I22" s="312"/>
      <c r="J22" s="312"/>
      <c r="K22" s="312"/>
      <c r="L22" s="312"/>
      <c r="M22" s="313"/>
      <c r="N22" s="14"/>
      <c r="O22" s="14"/>
      <c r="P22" s="7"/>
      <c r="Q22" s="1"/>
    </row>
    <row r="23" spans="1:17">
      <c r="A23" s="1"/>
      <c r="B23" s="5"/>
      <c r="C23" s="1"/>
      <c r="D23" s="1"/>
      <c r="E23" s="1"/>
      <c r="F23" s="1"/>
      <c r="G23" s="15"/>
      <c r="H23" s="1"/>
      <c r="I23" s="1"/>
      <c r="J23" s="1"/>
      <c r="K23" s="1"/>
      <c r="L23" s="1"/>
      <c r="M23" s="1"/>
      <c r="N23" s="1"/>
      <c r="O23" s="1"/>
      <c r="P23" s="7"/>
      <c r="Q23" s="1"/>
    </row>
    <row r="24" spans="1:17" ht="73.8">
      <c r="A24" s="1"/>
      <c r="B24" s="5"/>
      <c r="C24" s="91" t="s">
        <v>131</v>
      </c>
      <c r="D24" s="92"/>
      <c r="E24" s="91" t="s">
        <v>132</v>
      </c>
      <c r="F24" s="92"/>
      <c r="G24" s="91" t="s">
        <v>133</v>
      </c>
      <c r="H24" s="92"/>
      <c r="I24" s="288" t="s">
        <v>134</v>
      </c>
      <c r="J24" s="288"/>
      <c r="K24" s="288"/>
      <c r="L24" s="288"/>
      <c r="M24" s="288"/>
      <c r="N24" s="30"/>
      <c r="O24" s="30"/>
      <c r="P24" s="7"/>
      <c r="Q24" s="16"/>
    </row>
    <row r="25" spans="1:17" ht="13.5" customHeight="1" thickBot="1">
      <c r="A25" s="1"/>
      <c r="B25" s="5"/>
      <c r="C25" s="29"/>
      <c r="I25" s="292"/>
      <c r="J25" s="292"/>
      <c r="K25" s="292"/>
      <c r="L25" s="292"/>
      <c r="M25" s="292"/>
      <c r="N25" s="31"/>
      <c r="O25" s="31"/>
      <c r="P25" s="7"/>
      <c r="Q25" s="1"/>
    </row>
    <row r="26" spans="1:17" ht="155.25" customHeight="1" thickBot="1">
      <c r="A26" s="1"/>
      <c r="B26" s="5"/>
      <c r="C26" s="82" t="s">
        <v>32</v>
      </c>
      <c r="D26" s="17"/>
      <c r="E26" s="138" t="str">
        <f>+IF(Hoja1!K2&gt;=0.5,"Si","No")</f>
        <v>Si</v>
      </c>
      <c r="F26" s="18"/>
      <c r="G26" s="139">
        <f>+Hoja1!K2</f>
        <v>0.66666666666666663</v>
      </c>
      <c r="H26" s="18"/>
      <c r="I26" s="289" t="s">
        <v>194</v>
      </c>
      <c r="J26" s="290"/>
      <c r="K26" s="290"/>
      <c r="L26" s="290"/>
      <c r="M26" s="291"/>
      <c r="N26" s="32"/>
      <c r="O26" s="33"/>
      <c r="P26" s="19"/>
      <c r="Q26" s="20"/>
    </row>
    <row r="27" spans="1:17" ht="26.4" thickBot="1">
      <c r="A27" s="1"/>
      <c r="B27" s="5"/>
      <c r="C27" s="83"/>
      <c r="E27" s="90"/>
      <c r="G27" s="21"/>
      <c r="I27" s="293"/>
      <c r="J27" s="293"/>
      <c r="K27" s="293"/>
      <c r="L27" s="293"/>
      <c r="M27" s="293"/>
      <c r="N27" s="34"/>
      <c r="O27" s="34"/>
      <c r="P27" s="7"/>
      <c r="Q27" s="1"/>
    </row>
    <row r="28" spans="1:17" ht="172.8" customHeight="1" thickBot="1">
      <c r="A28" s="1"/>
      <c r="B28" s="5"/>
      <c r="C28" s="84" t="s">
        <v>135</v>
      </c>
      <c r="D28" s="17"/>
      <c r="E28" s="138" t="str">
        <f>+IF(Hoja1!K14&gt;=0.5,"Si","No")</f>
        <v>No</v>
      </c>
      <c r="G28" s="139">
        <f>+Hoja1!K14</f>
        <v>0.3</v>
      </c>
      <c r="I28" s="285" t="s">
        <v>195</v>
      </c>
      <c r="J28" s="286"/>
      <c r="K28" s="286"/>
      <c r="L28" s="286"/>
      <c r="M28" s="287"/>
      <c r="N28" s="32"/>
      <c r="O28" s="32"/>
      <c r="P28" s="7"/>
      <c r="Q28" s="1"/>
    </row>
    <row r="29" spans="1:17" ht="26.4" thickBot="1">
      <c r="A29" s="1"/>
      <c r="B29" s="5"/>
      <c r="C29" s="83"/>
      <c r="E29" s="90"/>
      <c r="G29" s="21"/>
      <c r="I29" s="293"/>
      <c r="J29" s="293"/>
      <c r="K29" s="293"/>
      <c r="L29" s="293"/>
      <c r="M29" s="293"/>
      <c r="N29" s="34"/>
      <c r="O29" s="34"/>
      <c r="P29" s="7"/>
      <c r="Q29" s="1"/>
    </row>
    <row r="30" spans="1:17" ht="185.4" customHeight="1" thickBot="1">
      <c r="A30" s="1"/>
      <c r="B30" s="5"/>
      <c r="C30" s="85" t="s">
        <v>136</v>
      </c>
      <c r="D30" s="17"/>
      <c r="E30" s="138" t="str">
        <f>+IF(Hoja1!K24&gt;=0.5,"Si","No")</f>
        <v>Si</v>
      </c>
      <c r="G30" s="139">
        <f>+Hoja1!K24</f>
        <v>0.5</v>
      </c>
      <c r="I30" s="285" t="s">
        <v>196</v>
      </c>
      <c r="J30" s="286"/>
      <c r="K30" s="286"/>
      <c r="L30" s="286"/>
      <c r="M30" s="287"/>
      <c r="N30" s="32"/>
      <c r="O30" s="32"/>
      <c r="P30" s="7"/>
      <c r="Q30" s="1"/>
    </row>
    <row r="31" spans="1:17" ht="26.4" thickBot="1">
      <c r="A31" s="1"/>
      <c r="B31" s="5"/>
      <c r="C31" s="83"/>
      <c r="E31" s="90"/>
      <c r="G31" s="21"/>
      <c r="I31" s="293"/>
      <c r="J31" s="293"/>
      <c r="K31" s="293"/>
      <c r="L31" s="293"/>
      <c r="M31" s="293"/>
      <c r="N31" s="34"/>
      <c r="O31" s="34"/>
      <c r="P31" s="7"/>
      <c r="Q31" s="1"/>
    </row>
    <row r="32" spans="1:17" ht="242.4" customHeight="1" thickBot="1">
      <c r="A32" s="1"/>
      <c r="B32" s="5"/>
      <c r="C32" s="86" t="s">
        <v>87</v>
      </c>
      <c r="D32" s="17"/>
      <c r="E32" s="138" t="str">
        <f>+IF(Hoja1!K29&gt;=0.5,"Si","No")</f>
        <v>Si</v>
      </c>
      <c r="G32" s="139">
        <f>+Hoja1!K29</f>
        <v>0.6428571428571429</v>
      </c>
      <c r="I32" s="285" t="s">
        <v>197</v>
      </c>
      <c r="J32" s="286"/>
      <c r="K32" s="286"/>
      <c r="L32" s="286"/>
      <c r="M32" s="287"/>
      <c r="N32" s="32"/>
      <c r="O32" s="32"/>
      <c r="P32" s="7"/>
      <c r="Q32" s="1"/>
    </row>
    <row r="33" spans="1:17" ht="26.4" thickBot="1">
      <c r="A33" s="1"/>
      <c r="B33" s="5"/>
      <c r="C33" s="83"/>
      <c r="E33" s="90"/>
      <c r="G33" s="21"/>
      <c r="I33" s="293"/>
      <c r="J33" s="293"/>
      <c r="K33" s="293"/>
      <c r="L33" s="293"/>
      <c r="M33" s="293"/>
      <c r="N33" s="34"/>
      <c r="O33" s="34"/>
      <c r="P33" s="7"/>
      <c r="Q33" s="1"/>
    </row>
    <row r="34" spans="1:17" ht="208.8" customHeight="1" thickBot="1">
      <c r="A34" s="1"/>
      <c r="B34" s="5"/>
      <c r="C34" s="87" t="s">
        <v>137</v>
      </c>
      <c r="D34" s="17"/>
      <c r="E34" s="89" t="str">
        <f>+IF(Hoja1!K36&gt;=0.5,"Si","No")</f>
        <v>No</v>
      </c>
      <c r="G34" s="139">
        <f>+Hoja1!K36</f>
        <v>0.45</v>
      </c>
      <c r="I34" s="285" t="s">
        <v>198</v>
      </c>
      <c r="J34" s="286"/>
      <c r="K34" s="286"/>
      <c r="L34" s="286"/>
      <c r="M34" s="287"/>
      <c r="N34" s="32"/>
      <c r="O34" s="32"/>
      <c r="P34" s="7"/>
      <c r="Q34" s="1"/>
    </row>
    <row r="35" spans="1:17" ht="15.6">
      <c r="A35" s="1"/>
      <c r="B35" s="5"/>
      <c r="C35" s="22"/>
      <c r="D35" s="22"/>
      <c r="E35" s="14"/>
      <c r="F35" s="1"/>
      <c r="G35" s="1"/>
      <c r="H35" s="1"/>
      <c r="I35" s="1"/>
      <c r="J35" s="1"/>
      <c r="K35" s="1"/>
      <c r="L35" s="1"/>
      <c r="M35" s="23"/>
      <c r="N35" s="23"/>
      <c r="O35" s="23"/>
      <c r="P35" s="7"/>
      <c r="Q35" s="1"/>
    </row>
    <row r="36" spans="1:17" ht="15.6">
      <c r="A36" s="1"/>
      <c r="B36" s="5"/>
      <c r="C36" s="24"/>
      <c r="D36" s="22"/>
      <c r="E36" s="14"/>
      <c r="F36" s="1"/>
      <c r="G36" s="1"/>
      <c r="H36" s="1"/>
      <c r="I36" s="1"/>
      <c r="J36" s="1"/>
      <c r="K36" s="1"/>
      <c r="L36" s="1"/>
      <c r="M36" s="23"/>
      <c r="N36" s="23"/>
      <c r="O36" s="23"/>
      <c r="P36" s="7"/>
      <c r="Q36" s="1"/>
    </row>
    <row r="37" spans="1:17">
      <c r="A37" s="1"/>
      <c r="B37" s="5"/>
      <c r="C37" s="25"/>
      <c r="D37" s="1"/>
      <c r="E37" s="1"/>
      <c r="F37" s="1"/>
      <c r="G37" s="1"/>
      <c r="H37" s="1"/>
      <c r="I37" s="1"/>
      <c r="J37" s="1"/>
      <c r="K37" s="1"/>
      <c r="L37" s="1"/>
      <c r="M37" s="1"/>
      <c r="N37" s="1"/>
      <c r="O37" s="1"/>
      <c r="P37" s="7"/>
      <c r="Q37" s="1"/>
    </row>
    <row r="38" spans="1:17" ht="15" thickBot="1">
      <c r="A38" s="1"/>
      <c r="B38" s="26"/>
      <c r="C38" s="27"/>
      <c r="D38" s="27"/>
      <c r="E38" s="27"/>
      <c r="F38" s="27"/>
      <c r="G38" s="27"/>
      <c r="H38" s="27"/>
      <c r="I38" s="27"/>
      <c r="J38" s="27"/>
      <c r="K38" s="27"/>
      <c r="L38" s="27"/>
      <c r="M38" s="27"/>
      <c r="N38" s="27"/>
      <c r="O38" s="27"/>
      <c r="P38" s="28"/>
      <c r="Q38" s="1"/>
    </row>
    <row r="39" spans="1:17" ht="15" thickTop="1">
      <c r="A39" s="1"/>
      <c r="B39" s="1"/>
      <c r="C39" s="1"/>
      <c r="D39" s="1"/>
      <c r="E39" s="1"/>
      <c r="F39" s="1"/>
      <c r="G39" s="1"/>
      <c r="H39" s="1"/>
      <c r="I39" s="1"/>
      <c r="J39" s="1"/>
      <c r="K39" s="1"/>
      <c r="L39" s="1"/>
      <c r="M39" s="1"/>
      <c r="N39" s="1"/>
      <c r="O39" s="1"/>
      <c r="P39" s="1"/>
      <c r="Q39" s="1"/>
    </row>
    <row r="40" spans="1:17">
      <c r="A40" s="1"/>
      <c r="B40" s="1"/>
      <c r="C40" s="1"/>
      <c r="D40" s="1"/>
      <c r="E40" s="1"/>
      <c r="F40" s="1"/>
      <c r="G40" s="1"/>
      <c r="H40" s="1"/>
      <c r="I40" s="1"/>
      <c r="J40" s="1"/>
      <c r="K40" s="1"/>
      <c r="L40" s="1"/>
      <c r="M40" s="1"/>
      <c r="N40" s="1"/>
      <c r="O40" s="1"/>
      <c r="P40" s="1"/>
      <c r="Q40" s="1"/>
    </row>
    <row r="41" spans="1:17">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27" operator="between">
      <formula>0.76</formula>
      <formula>1</formula>
    </cfRule>
    <cfRule type="cellIs" dxfId="2" priority="28" operator="between">
      <formula>0.51</formula>
      <formula>0.75</formula>
    </cfRule>
    <cfRule type="cellIs" dxfId="1" priority="29" operator="between">
      <formula>0.26</formula>
      <formula>0.5</formula>
    </cfRule>
    <cfRule type="cellIs" dxfId="0"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4140625" defaultRowHeight="14.4"/>
  <cols>
    <col min="2" max="2" width="31" bestFit="1" customWidth="1"/>
    <col min="3" max="3" width="17.109375" customWidth="1"/>
    <col min="5" max="5" width="15.109375" customWidth="1"/>
    <col min="10" max="10" width="15.6640625" customWidth="1"/>
    <col min="11" max="11" width="12" bestFit="1" customWidth="1"/>
  </cols>
  <sheetData>
    <row r="1" spans="1:11" ht="84.75" customHeight="1">
      <c r="A1" s="143" t="s">
        <v>25</v>
      </c>
      <c r="B1" s="143" t="s">
        <v>6</v>
      </c>
      <c r="C1" s="144" t="s">
        <v>8</v>
      </c>
      <c r="D1" s="145" t="s">
        <v>26</v>
      </c>
      <c r="E1" s="145" t="s">
        <v>27</v>
      </c>
      <c r="F1" s="145" t="s">
        <v>138</v>
      </c>
      <c r="G1" s="146" t="s">
        <v>139</v>
      </c>
      <c r="H1" s="146" t="s">
        <v>140</v>
      </c>
      <c r="I1" s="146" t="s">
        <v>119</v>
      </c>
      <c r="J1" s="146" t="s">
        <v>141</v>
      </c>
      <c r="K1" s="146" t="s">
        <v>142</v>
      </c>
    </row>
    <row r="2" spans="1:11">
      <c r="A2" s="147" t="s">
        <v>143</v>
      </c>
      <c r="B2" s="147" t="str">
        <f>+VLOOKUP(A2,'Estado SCI'!$A$16:$C$59,3,0)</f>
        <v>AMBIENTE DE CONTROL</v>
      </c>
      <c r="C2" s="147" t="s">
        <v>33</v>
      </c>
      <c r="D2" s="147" t="s">
        <v>34</v>
      </c>
      <c r="E2" s="147" t="s">
        <v>35</v>
      </c>
      <c r="F2" s="147" t="str">
        <f>+VLOOKUP(A2,'Estado SCI'!$A$16:$I$59,9,0)</f>
        <v>Deficiencia de control</v>
      </c>
      <c r="G2" s="147">
        <f>+VLOOKUP(A2,'Estado SCI'!$A$16:$L$59,12,0)</f>
        <v>0.123</v>
      </c>
      <c r="H2" s="147">
        <f t="shared" ref="H2:H45" si="0">+_xlfn.RANK.EQ(G2,$G$2:$G$45,1)</f>
        <v>1</v>
      </c>
      <c r="I2" s="147" t="str">
        <f>+IF(VLOOKUP(A2,'Estado SCI'!$A$16:$G$59,7,0)="","",VLOOKUP(A2,'Estado SCI'!$A$16:$G$59,7,0))</f>
        <v>No</v>
      </c>
      <c r="J2" s="148">
        <f>+IF(I2="Si",1,IF(I2="En proceso",0.5,0))</f>
        <v>0</v>
      </c>
      <c r="K2" s="149">
        <f t="shared" ref="K2:K45" si="1">+AVERAGEIF($B$2:$B$45,B2,$J$2:$J$45)</f>
        <v>0.66666666666666663</v>
      </c>
    </row>
    <row r="3" spans="1:11">
      <c r="A3" s="147" t="s">
        <v>144</v>
      </c>
      <c r="B3" s="147" t="s">
        <v>32</v>
      </c>
      <c r="C3" s="147" t="s">
        <v>33</v>
      </c>
      <c r="D3" s="147" t="s">
        <v>37</v>
      </c>
      <c r="E3" s="147" t="s">
        <v>38</v>
      </c>
      <c r="F3" s="147" t="str">
        <f>+VLOOKUP(A3,'Estado SCI'!$A$16:$I$59,9,0)</f>
        <v>Mantenimiento del control</v>
      </c>
      <c r="G3" s="147">
        <f>+VLOOKUP(A3,'Estado SCI'!$A$16:$L$59,12,0)</f>
        <v>20.1234</v>
      </c>
      <c r="H3" s="147">
        <f t="shared" si="0"/>
        <v>7</v>
      </c>
      <c r="I3" s="147" t="str">
        <f>+IF(VLOOKUP(A3,'Estado SCI'!$A$16:$G$59,7,0)="","",VLOOKUP(A3,'Estado SCI'!$A$16:$G$59,7,0))</f>
        <v>Si</v>
      </c>
      <c r="J3" s="148">
        <f t="shared" ref="J3:J45" si="2">+IF(I3="Si",1,IF(I3="En proceso",0.5,0))</f>
        <v>1</v>
      </c>
      <c r="K3" s="149">
        <f t="shared" si="1"/>
        <v>0.66666666666666663</v>
      </c>
    </row>
    <row r="4" spans="1:11">
      <c r="A4" s="147" t="s">
        <v>145</v>
      </c>
      <c r="B4" s="147" t="s">
        <v>32</v>
      </c>
      <c r="C4" s="147" t="s">
        <v>33</v>
      </c>
      <c r="D4" s="147" t="s">
        <v>40</v>
      </c>
      <c r="E4" s="147" t="s">
        <v>41</v>
      </c>
      <c r="F4" s="147" t="str">
        <f>+VLOOKUP(A4,'Estado SCI'!$A$16:$I$59,9,0)</f>
        <v>Deficiencia de control</v>
      </c>
      <c r="G4" s="147">
        <f>+VLOOKUP(A4,'Estado SCI'!$A$16:$L$59,12,0)</f>
        <v>0.12345</v>
      </c>
      <c r="H4" s="147">
        <f t="shared" si="0"/>
        <v>2</v>
      </c>
      <c r="I4" s="147" t="str">
        <f>+IF(VLOOKUP(A4,'Estado SCI'!$A$16:$G$59,7,0)="","",VLOOKUP(A4,'Estado SCI'!$A$16:$G$59,7,0))</f>
        <v>No</v>
      </c>
      <c r="J4" s="148">
        <f t="shared" si="2"/>
        <v>0</v>
      </c>
      <c r="K4" s="149">
        <f t="shared" si="1"/>
        <v>0.66666666666666663</v>
      </c>
    </row>
    <row r="5" spans="1:11">
      <c r="A5" s="147" t="s">
        <v>146</v>
      </c>
      <c r="B5" s="147" t="s">
        <v>32</v>
      </c>
      <c r="C5" s="147" t="s">
        <v>33</v>
      </c>
      <c r="D5" s="147" t="s">
        <v>42</v>
      </c>
      <c r="E5" s="147" t="s">
        <v>43</v>
      </c>
      <c r="F5" s="147" t="str">
        <f>+VLOOKUP(A5,'Estado SCI'!$A$16:$I$59,9,0)</f>
        <v>Oportunidad de mejora</v>
      </c>
      <c r="G5" s="147">
        <f>+VLOOKUP(A5,'Estado SCI'!$A$16:$L$59,12,0)</f>
        <v>10.123455999999999</v>
      </c>
      <c r="H5" s="147">
        <f t="shared" si="0"/>
        <v>3</v>
      </c>
      <c r="I5" s="147" t="str">
        <f>+IF(VLOOKUP(A5,'Estado SCI'!$A$16:$G$59,7,0)="","",VLOOKUP(A5,'Estado SCI'!$A$16:$G$59,7,0))</f>
        <v>En proceso</v>
      </c>
      <c r="J5" s="148">
        <f t="shared" si="2"/>
        <v>0.5</v>
      </c>
      <c r="K5" s="149">
        <f t="shared" si="1"/>
        <v>0.66666666666666663</v>
      </c>
    </row>
    <row r="6" spans="1:11">
      <c r="A6" s="147" t="s">
        <v>147</v>
      </c>
      <c r="B6" s="147" t="s">
        <v>32</v>
      </c>
      <c r="C6" s="147" t="s">
        <v>33</v>
      </c>
      <c r="D6" s="147" t="s">
        <v>44</v>
      </c>
      <c r="E6" s="147" t="s">
        <v>45</v>
      </c>
      <c r="F6" s="147" t="str">
        <f>+VLOOKUP(A6,'Estado SCI'!$A$16:$I$59,9,0)</f>
        <v>Mantenimiento del control</v>
      </c>
      <c r="G6" s="147">
        <f>+VLOOKUP(A6,'Estado SCI'!$A$16:$L$59,12,0)</f>
        <v>20.123456780000001</v>
      </c>
      <c r="H6" s="147">
        <f t="shared" si="0"/>
        <v>8</v>
      </c>
      <c r="I6" s="147" t="str">
        <f>+IF(VLOOKUP(A6,'Estado SCI'!$A$16:$G$59,7,0)="","",VLOOKUP(A6,'Estado SCI'!$A$16:$G$59,7,0))</f>
        <v>Si</v>
      </c>
      <c r="J6" s="148">
        <f t="shared" si="2"/>
        <v>1</v>
      </c>
      <c r="K6" s="149">
        <f t="shared" si="1"/>
        <v>0.66666666666666663</v>
      </c>
    </row>
    <row r="7" spans="1:11">
      <c r="A7" s="147" t="s">
        <v>148</v>
      </c>
      <c r="B7" s="147" t="s">
        <v>32</v>
      </c>
      <c r="C7" s="147" t="s">
        <v>33</v>
      </c>
      <c r="D7" s="147" t="s">
        <v>46</v>
      </c>
      <c r="E7" s="147" t="s">
        <v>47</v>
      </c>
      <c r="F7" s="147" t="str">
        <f>+VLOOKUP(A7,'Estado SCI'!$A$16:$I$59,9,0)</f>
        <v>Oportunidad de mejora</v>
      </c>
      <c r="G7" s="147">
        <f>+VLOOKUP(A7,'Estado SCI'!$A$16:$L$59,12,0)</f>
        <v>10.123456789</v>
      </c>
      <c r="H7" s="147">
        <f t="shared" si="0"/>
        <v>4</v>
      </c>
      <c r="I7" s="147" t="str">
        <f>+IF(VLOOKUP(A7,'Estado SCI'!$A$16:$G$59,7,0)="","",VLOOKUP(A7,'Estado SCI'!$A$16:$G$59,7,0))</f>
        <v>En proceso</v>
      </c>
      <c r="J7" s="148">
        <f t="shared" si="2"/>
        <v>0.5</v>
      </c>
      <c r="K7" s="149">
        <f t="shared" si="1"/>
        <v>0.66666666666666663</v>
      </c>
    </row>
    <row r="8" spans="1:11">
      <c r="A8" s="147" t="s">
        <v>149</v>
      </c>
      <c r="B8" s="147" t="s">
        <v>32</v>
      </c>
      <c r="C8" s="147" t="s">
        <v>33</v>
      </c>
      <c r="D8" s="147" t="s">
        <v>48</v>
      </c>
      <c r="E8" s="147" t="s">
        <v>49</v>
      </c>
      <c r="F8" s="147" t="str">
        <f>+VLOOKUP(A8,'Estado SCI'!$A$16:$I$59,9,0)</f>
        <v>Oportunidad de mejora</v>
      </c>
      <c r="G8" s="147">
        <f>+VLOOKUP(A8,'Estado SCI'!$A$16:$L$59,12,0)</f>
        <v>10.1234567891</v>
      </c>
      <c r="H8" s="147">
        <f t="shared" si="0"/>
        <v>5</v>
      </c>
      <c r="I8" s="147" t="str">
        <f>+IF(VLOOKUP(A8,'Estado SCI'!$A$16:$G$59,7,0)="","",VLOOKUP(A8,'Estado SCI'!$A$16:$G$59,7,0))</f>
        <v>En proceso</v>
      </c>
      <c r="J8" s="148">
        <f t="shared" si="2"/>
        <v>0.5</v>
      </c>
      <c r="K8" s="149">
        <f t="shared" si="1"/>
        <v>0.66666666666666663</v>
      </c>
    </row>
    <row r="9" spans="1:11">
      <c r="A9" s="147" t="s">
        <v>150</v>
      </c>
      <c r="B9" s="147" t="s">
        <v>32</v>
      </c>
      <c r="C9" s="147" t="s">
        <v>33</v>
      </c>
      <c r="D9" s="147" t="s">
        <v>50</v>
      </c>
      <c r="E9" s="147" t="s">
        <v>51</v>
      </c>
      <c r="F9" s="147" t="str">
        <f>+VLOOKUP(A9,'Estado SCI'!$A$16:$I$59,9,0)</f>
        <v>Oportunidad de mejora</v>
      </c>
      <c r="G9" s="147">
        <f>+VLOOKUP(A9,'Estado SCI'!$A$16:$L$59,12,0)</f>
        <v>10.12345678912</v>
      </c>
      <c r="H9" s="147">
        <f t="shared" si="0"/>
        <v>6</v>
      </c>
      <c r="I9" s="147" t="str">
        <f>+IF(VLOOKUP(A9,'Estado SCI'!$A$16:$G$59,7,0)="","",VLOOKUP(A9,'Estado SCI'!$A$16:$G$59,7,0))</f>
        <v>En proceso</v>
      </c>
      <c r="J9" s="148">
        <f t="shared" si="2"/>
        <v>0.5</v>
      </c>
      <c r="K9" s="149">
        <f t="shared" si="1"/>
        <v>0.66666666666666663</v>
      </c>
    </row>
    <row r="10" spans="1:11">
      <c r="A10" s="147" t="s">
        <v>151</v>
      </c>
      <c r="B10" s="147" t="s">
        <v>32</v>
      </c>
      <c r="C10" s="147" t="s">
        <v>33</v>
      </c>
      <c r="D10" s="147" t="s">
        <v>52</v>
      </c>
      <c r="E10" s="147" t="s">
        <v>53</v>
      </c>
      <c r="F10" s="147" t="str">
        <f>+VLOOKUP(A10,'Estado SCI'!$A$16:$I$59,9,0)</f>
        <v>Mantenimiento del control</v>
      </c>
      <c r="G10" s="147">
        <f>+VLOOKUP(A10,'Estado SCI'!$A$16:$L$59,12,0)</f>
        <v>20.123456789123001</v>
      </c>
      <c r="H10" s="147">
        <f t="shared" si="0"/>
        <v>9</v>
      </c>
      <c r="I10" s="147" t="str">
        <f>+IF(VLOOKUP(A10,'Estado SCI'!$A$16:$G$59,7,0)="","",VLOOKUP(A10,'Estado SCI'!$A$16:$G$59,7,0))</f>
        <v>Si</v>
      </c>
      <c r="J10" s="148">
        <f t="shared" si="2"/>
        <v>1</v>
      </c>
      <c r="K10" s="149">
        <f t="shared" si="1"/>
        <v>0.66666666666666663</v>
      </c>
    </row>
    <row r="11" spans="1:11">
      <c r="A11" s="147" t="s">
        <v>152</v>
      </c>
      <c r="B11" s="147" t="s">
        <v>32</v>
      </c>
      <c r="C11" s="147" t="s">
        <v>33</v>
      </c>
      <c r="D11" s="147" t="s">
        <v>54</v>
      </c>
      <c r="E11" s="147" t="s">
        <v>55</v>
      </c>
      <c r="F11" s="147" t="str">
        <f>+VLOOKUP(A11,'Estado SCI'!$A$16:$I$59,9,0)</f>
        <v>Mantenimiento del control</v>
      </c>
      <c r="G11" s="147">
        <f>+VLOOKUP(A11,'Estado SCI'!$A$16:$L$59,12,0)</f>
        <v>20.123456789123399</v>
      </c>
      <c r="H11" s="147">
        <f t="shared" si="0"/>
        <v>10</v>
      </c>
      <c r="I11" s="147" t="str">
        <f>+IF(VLOOKUP(A11,'Estado SCI'!$A$16:$G$59,7,0)="","",VLOOKUP(A11,'Estado SCI'!$A$16:$G$59,7,0))</f>
        <v>Si</v>
      </c>
      <c r="J11" s="148">
        <f t="shared" si="2"/>
        <v>1</v>
      </c>
      <c r="K11" s="149">
        <f t="shared" si="1"/>
        <v>0.66666666666666663</v>
      </c>
    </row>
    <row r="12" spans="1:11">
      <c r="A12" s="147" t="s">
        <v>153</v>
      </c>
      <c r="B12" s="147" t="s">
        <v>32</v>
      </c>
      <c r="C12" s="147" t="s">
        <v>33</v>
      </c>
      <c r="D12" s="147" t="s">
        <v>56</v>
      </c>
      <c r="E12" s="147" t="s">
        <v>57</v>
      </c>
      <c r="F12" s="147" t="str">
        <f>+VLOOKUP(A12,'Estado SCI'!$A$16:$I$59,9,0)</f>
        <v>Mantenimiento del control</v>
      </c>
      <c r="G12" s="147">
        <f>+VLOOKUP(A12,'Estado SCI'!$A$16:$L$59,12,0)</f>
        <v>20.123456789123448</v>
      </c>
      <c r="H12" s="147">
        <f t="shared" si="0"/>
        <v>11</v>
      </c>
      <c r="I12" s="147" t="str">
        <f>+IF(VLOOKUP(A12,'Estado SCI'!$A$16:$G$59,7,0)="","",VLOOKUP(A12,'Estado SCI'!$A$16:$G$59,7,0))</f>
        <v>Si</v>
      </c>
      <c r="J12" s="148">
        <f t="shared" si="2"/>
        <v>1</v>
      </c>
      <c r="K12" s="149">
        <f t="shared" si="1"/>
        <v>0.66666666666666663</v>
      </c>
    </row>
    <row r="13" spans="1:11">
      <c r="A13" s="147" t="s">
        <v>154</v>
      </c>
      <c r="B13" s="147" t="s">
        <v>32</v>
      </c>
      <c r="C13" s="147" t="s">
        <v>33</v>
      </c>
      <c r="D13" s="147" t="s">
        <v>58</v>
      </c>
      <c r="E13" s="147" t="s">
        <v>59</v>
      </c>
      <c r="F13" s="147" t="str">
        <f>+VLOOKUP(A13,'Estado SCI'!$A$16:$I$59,9,0)</f>
        <v>Mantenimiento del control</v>
      </c>
      <c r="G13" s="147">
        <f>+VLOOKUP(A13,'Estado SCI'!$A$16:$L$59,12,0)</f>
        <v>20.123456789123455</v>
      </c>
      <c r="H13" s="147">
        <f t="shared" si="0"/>
        <v>12</v>
      </c>
      <c r="I13" s="147" t="str">
        <f>+IF(VLOOKUP(A13,'Estado SCI'!$A$16:$G$59,7,0)="","",VLOOKUP(A13,'Estado SCI'!$A$16:$G$59,7,0))</f>
        <v>Si</v>
      </c>
      <c r="J13" s="148">
        <f t="shared" si="2"/>
        <v>1</v>
      </c>
      <c r="K13" s="149">
        <f t="shared" si="1"/>
        <v>0.66666666666666663</v>
      </c>
    </row>
    <row r="14" spans="1:11" ht="15" customHeight="1">
      <c r="A14" s="147" t="s">
        <v>155</v>
      </c>
      <c r="B14" s="147" t="str">
        <f>+VLOOKUP(A14,'Estado SCI'!$A$16:$C$59,3,0)</f>
        <v>EVALUACION DEL RIESGO</v>
      </c>
      <c r="C14" s="147" t="s">
        <v>62</v>
      </c>
      <c r="D14" s="147" t="s">
        <v>34</v>
      </c>
      <c r="E14" s="147" t="s">
        <v>156</v>
      </c>
      <c r="F14" s="147" t="str">
        <f>+VLOOKUP(A14,'Estado SCI'!$A$16:$I$59,9,0)</f>
        <v>Oportunidad de mejora</v>
      </c>
      <c r="G14" s="147">
        <f>+VLOOKUP(A14,'Estado SCI'!$A$16:$L$59,12,0)</f>
        <v>30.23</v>
      </c>
      <c r="H14" s="147">
        <f t="shared" si="0"/>
        <v>18</v>
      </c>
      <c r="I14" s="147" t="str">
        <f>+IF(VLOOKUP(A14,'Estado SCI'!$A$16:$G$59,7,0)="","",VLOOKUP(A14,'Estado SCI'!$A$16:$G$59,7,0))</f>
        <v>En proceso</v>
      </c>
      <c r="J14" s="148">
        <f t="shared" si="2"/>
        <v>0.5</v>
      </c>
      <c r="K14" s="149">
        <f t="shared" si="1"/>
        <v>0.3</v>
      </c>
    </row>
    <row r="15" spans="1:11" ht="15" customHeight="1">
      <c r="A15" s="147" t="s">
        <v>157</v>
      </c>
      <c r="B15" s="147" t="s">
        <v>61</v>
      </c>
      <c r="C15" s="147" t="s">
        <v>62</v>
      </c>
      <c r="D15" s="147" t="s">
        <v>37</v>
      </c>
      <c r="E15" s="147" t="s">
        <v>158</v>
      </c>
      <c r="F15" s="147" t="str">
        <f>+VLOOKUP(A15,'Estado SCI'!$A$16:$I$59,9,0)</f>
        <v>Mantenimiento del control</v>
      </c>
      <c r="G15" s="147">
        <f>+VLOOKUP(A15,'Estado SCI'!$A$16:$L$59,12,0)</f>
        <v>40.234000000000002</v>
      </c>
      <c r="H15" s="147">
        <f t="shared" si="0"/>
        <v>22</v>
      </c>
      <c r="I15" s="147" t="str">
        <f>+IF(VLOOKUP(A15,'Estado SCI'!$A$16:$G$59,7,0)="","",VLOOKUP(A15,'Estado SCI'!$A$16:$G$59,7,0))</f>
        <v>Si</v>
      </c>
      <c r="J15" s="148">
        <f t="shared" si="2"/>
        <v>1</v>
      </c>
      <c r="K15" s="149">
        <f t="shared" si="1"/>
        <v>0.3</v>
      </c>
    </row>
    <row r="16" spans="1:11" ht="15" customHeight="1">
      <c r="A16" s="147" t="s">
        <v>159</v>
      </c>
      <c r="B16" s="147" t="s">
        <v>61</v>
      </c>
      <c r="C16" s="147" t="s">
        <v>62</v>
      </c>
      <c r="D16" s="147" t="s">
        <v>40</v>
      </c>
      <c r="E16" s="147" t="s">
        <v>160</v>
      </c>
      <c r="F16" s="147" t="str">
        <f>+VLOOKUP(A16,'Estado SCI'!$A$16:$I$59,9,0)</f>
        <v>Deficiencia de control</v>
      </c>
      <c r="G16" s="147">
        <f>+VLOOKUP(A16,'Estado SCI'!$A$16:$L$59,12,0)</f>
        <v>20.234500000000001</v>
      </c>
      <c r="H16" s="147">
        <f t="shared" si="0"/>
        <v>13</v>
      </c>
      <c r="I16" s="147" t="str">
        <f>+IF(VLOOKUP(A16,'Estado SCI'!$A$16:$G$59,7,0)="","",VLOOKUP(A16,'Estado SCI'!$A$16:$G$59,7,0))</f>
        <v>No</v>
      </c>
      <c r="J16" s="148">
        <f t="shared" si="2"/>
        <v>0</v>
      </c>
      <c r="K16" s="149">
        <f t="shared" si="1"/>
        <v>0.3</v>
      </c>
    </row>
    <row r="17" spans="1:11" ht="15.75" customHeight="1">
      <c r="A17" s="147" t="s">
        <v>161</v>
      </c>
      <c r="B17" s="147" t="s">
        <v>61</v>
      </c>
      <c r="C17" s="147" t="s">
        <v>62</v>
      </c>
      <c r="D17" s="147" t="s">
        <v>42</v>
      </c>
      <c r="E17" s="147" t="s">
        <v>66</v>
      </c>
      <c r="F17" s="147" t="str">
        <f>+VLOOKUP(A17,'Estado SCI'!$A$16:$I$59,9,0)</f>
        <v>Deficiencia de control</v>
      </c>
      <c r="G17" s="147">
        <f>+VLOOKUP(A17,'Estado SCI'!$A$16:$L$59,12,0)</f>
        <v>20.234559999999998</v>
      </c>
      <c r="H17" s="147">
        <f t="shared" si="0"/>
        <v>14</v>
      </c>
      <c r="I17" s="147" t="str">
        <f>+IF(VLOOKUP(A17,'Estado SCI'!$A$16:$G$59,7,0)="","",VLOOKUP(A17,'Estado SCI'!$A$16:$G$59,7,0))</f>
        <v>No</v>
      </c>
      <c r="J17" s="148">
        <f t="shared" si="2"/>
        <v>0</v>
      </c>
      <c r="K17" s="149">
        <f t="shared" si="1"/>
        <v>0.3</v>
      </c>
    </row>
    <row r="18" spans="1:11" ht="15" customHeight="1">
      <c r="A18" s="147" t="s">
        <v>162</v>
      </c>
      <c r="B18" s="147" t="s">
        <v>61</v>
      </c>
      <c r="C18" s="147" t="s">
        <v>80</v>
      </c>
      <c r="D18" s="147" t="s">
        <v>34</v>
      </c>
      <c r="E18" s="147" t="s">
        <v>69</v>
      </c>
      <c r="F18" s="147" t="str">
        <f>+VLOOKUP(A18,'Estado SCI'!$A$16:$I$59,9,0)</f>
        <v>Deficiencia de control</v>
      </c>
      <c r="G18" s="147">
        <f>+VLOOKUP(A18,'Estado SCI'!$A$16:$L$59,12,0)</f>
        <v>20.234566999999998</v>
      </c>
      <c r="H18" s="147">
        <f t="shared" si="0"/>
        <v>15</v>
      </c>
      <c r="I18" s="147" t="str">
        <f>+IF(VLOOKUP(A18,'Estado SCI'!$A$16:$G$59,7,0)="","",VLOOKUP(A18,'Estado SCI'!$A$16:$G$59,7,0))</f>
        <v>No</v>
      </c>
      <c r="J18" s="148">
        <f t="shared" si="2"/>
        <v>0</v>
      </c>
      <c r="K18" s="149">
        <f t="shared" si="1"/>
        <v>0.3</v>
      </c>
    </row>
    <row r="19" spans="1:11" ht="15" customHeight="1">
      <c r="A19" s="147" t="s">
        <v>163</v>
      </c>
      <c r="B19" s="147" t="s">
        <v>61</v>
      </c>
      <c r="C19" s="147" t="s">
        <v>80</v>
      </c>
      <c r="D19" s="147" t="s">
        <v>37</v>
      </c>
      <c r="E19" s="147" t="s">
        <v>70</v>
      </c>
      <c r="F19" s="147" t="str">
        <f>+VLOOKUP(A19,'Estado SCI'!$A$16:$I$59,9,0)</f>
        <v>Deficiencia de control</v>
      </c>
      <c r="G19" s="147">
        <f>+VLOOKUP(A19,'Estado SCI'!$A$16:$L$59,12,0)</f>
        <v>20.234567800000001</v>
      </c>
      <c r="H19" s="147">
        <f t="shared" si="0"/>
        <v>16</v>
      </c>
      <c r="I19" s="147" t="str">
        <f>+IF(VLOOKUP(A19,'Estado SCI'!$A$16:$G$59,7,0)="","",VLOOKUP(A19,'Estado SCI'!$A$16:$G$59,7,0))</f>
        <v>No</v>
      </c>
      <c r="J19" s="148">
        <f t="shared" si="2"/>
        <v>0</v>
      </c>
      <c r="K19" s="149">
        <f t="shared" si="1"/>
        <v>0.3</v>
      </c>
    </row>
    <row r="20" spans="1:11" ht="15" customHeight="1">
      <c r="A20" s="147" t="s">
        <v>164</v>
      </c>
      <c r="B20" s="147" t="s">
        <v>61</v>
      </c>
      <c r="C20" s="147" t="s">
        <v>80</v>
      </c>
      <c r="D20" s="147" t="s">
        <v>40</v>
      </c>
      <c r="E20" s="147" t="s">
        <v>71</v>
      </c>
      <c r="F20" s="147" t="str">
        <f>+VLOOKUP(A20,'Estado SCI'!$A$16:$I$59,9,0)</f>
        <v>Deficiencia de control</v>
      </c>
      <c r="G20" s="147">
        <f>+VLOOKUP(A20,'Estado SCI'!$A$16:$L$59,12,0)</f>
        <v>20.234567890000001</v>
      </c>
      <c r="H20" s="147">
        <f t="shared" si="0"/>
        <v>17</v>
      </c>
      <c r="I20" s="147" t="str">
        <f>+IF(VLOOKUP(A20,'Estado SCI'!$A$16:$G$59,7,0)="","",VLOOKUP(A20,'Estado SCI'!$A$16:$G$59,7,0))</f>
        <v>No</v>
      </c>
      <c r="J20" s="148">
        <f t="shared" si="2"/>
        <v>0</v>
      </c>
      <c r="K20" s="149">
        <f t="shared" si="1"/>
        <v>0.3</v>
      </c>
    </row>
    <row r="21" spans="1:11" ht="15.75" customHeight="1">
      <c r="A21" s="147" t="s">
        <v>165</v>
      </c>
      <c r="B21" s="147" t="s">
        <v>61</v>
      </c>
      <c r="C21" s="147" t="s">
        <v>80</v>
      </c>
      <c r="D21" s="147" t="s">
        <v>34</v>
      </c>
      <c r="E21" s="147" t="s">
        <v>74</v>
      </c>
      <c r="F21" s="147" t="str">
        <f>+VLOOKUP(A21,'Estado SCI'!$A$16:$I$59,9,0)</f>
        <v>Oportunidad de mejora</v>
      </c>
      <c r="G21" s="147">
        <f>+VLOOKUP(A21,'Estado SCI'!$A$16:$L$59,12,0)</f>
        <v>30.234567891200001</v>
      </c>
      <c r="H21" s="147">
        <f t="shared" si="0"/>
        <v>19</v>
      </c>
      <c r="I21" s="147" t="str">
        <f>+IF(VLOOKUP(A21,'Estado SCI'!$A$16:$G$59,7,0)="","",VLOOKUP(A21,'Estado SCI'!$A$16:$G$59,7,0))</f>
        <v>En proceso</v>
      </c>
      <c r="J21" s="148">
        <f t="shared" si="2"/>
        <v>0.5</v>
      </c>
      <c r="K21" s="149">
        <f t="shared" si="1"/>
        <v>0.3</v>
      </c>
    </row>
    <row r="22" spans="1:11" ht="15" customHeight="1">
      <c r="A22" s="147" t="s">
        <v>166</v>
      </c>
      <c r="B22" s="147" t="s">
        <v>61</v>
      </c>
      <c r="C22" s="147" t="s">
        <v>88</v>
      </c>
      <c r="D22" s="147" t="s">
        <v>37</v>
      </c>
      <c r="E22" s="147" t="s">
        <v>75</v>
      </c>
      <c r="F22" s="147" t="str">
        <f>+VLOOKUP(A22,'Estado SCI'!$A$16:$I$59,9,0)</f>
        <v>Oportunidad de mejora</v>
      </c>
      <c r="G22" s="147">
        <f>+VLOOKUP(A22,'Estado SCI'!$A$16:$L$59,12,0)</f>
        <v>30.23456789123</v>
      </c>
      <c r="H22" s="147">
        <f t="shared" si="0"/>
        <v>20</v>
      </c>
      <c r="I22" s="147" t="str">
        <f>+IF(VLOOKUP(A22,'Estado SCI'!$A$16:$G$59,7,0)="","",VLOOKUP(A22,'Estado SCI'!$A$16:$G$59,7,0))</f>
        <v>En proceso</v>
      </c>
      <c r="J22" s="148">
        <f t="shared" si="2"/>
        <v>0.5</v>
      </c>
      <c r="K22" s="149">
        <f t="shared" si="1"/>
        <v>0.3</v>
      </c>
    </row>
    <row r="23" spans="1:11" ht="15" customHeight="1">
      <c r="A23" s="147" t="s">
        <v>167</v>
      </c>
      <c r="B23" s="147" t="s">
        <v>61</v>
      </c>
      <c r="C23" s="147" t="s">
        <v>88</v>
      </c>
      <c r="D23" s="147" t="s">
        <v>40</v>
      </c>
      <c r="E23" s="147" t="s">
        <v>77</v>
      </c>
      <c r="F23" s="147" t="str">
        <f>+VLOOKUP(A23,'Estado SCI'!$A$16:$I$59,9,0)</f>
        <v>Oportunidad de mejora</v>
      </c>
      <c r="G23" s="147">
        <f>+VLOOKUP(A23,'Estado SCI'!$A$16:$L$59,12,0)</f>
        <v>30.234567891234001</v>
      </c>
      <c r="H23" s="147">
        <f t="shared" si="0"/>
        <v>21</v>
      </c>
      <c r="I23" s="147" t="str">
        <f>+IF(VLOOKUP(A23,'Estado SCI'!$A$16:$G$59,7,0)="","",VLOOKUP(A23,'Estado SCI'!$A$16:$G$59,7,0))</f>
        <v>En proceso</v>
      </c>
      <c r="J23" s="148">
        <f t="shared" si="2"/>
        <v>0.5</v>
      </c>
      <c r="K23" s="149">
        <f t="shared" si="1"/>
        <v>0.3</v>
      </c>
    </row>
    <row r="24" spans="1:11" ht="15" customHeight="1">
      <c r="A24" s="147" t="s">
        <v>168</v>
      </c>
      <c r="B24" s="147" t="str">
        <f>+VLOOKUP(A24,'Estado SCI'!$A$16:$C$59,3,0)</f>
        <v>ACTIVIDADES DE CONTROL</v>
      </c>
      <c r="C24" s="147" t="s">
        <v>88</v>
      </c>
      <c r="D24" s="147" t="s">
        <v>34</v>
      </c>
      <c r="E24" s="147" t="s">
        <v>81</v>
      </c>
      <c r="F24" s="147" t="str">
        <f>+VLOOKUP(A24,'Estado SCI'!$A$16:$I$59,9,0)</f>
        <v>Oportunidad de mejora</v>
      </c>
      <c r="G24" s="147">
        <f>+VLOOKUP(A24,'Estado SCI'!$A$16:$L$59,12,0)</f>
        <v>50.31</v>
      </c>
      <c r="H24" s="147">
        <f t="shared" si="0"/>
        <v>24</v>
      </c>
      <c r="I24" s="147" t="str">
        <f>+IF(VLOOKUP(A24,'Estado SCI'!$A$16:$G$59,7,0)="","",VLOOKUP(A24,'Estado SCI'!$A$16:$G$59,7,0))</f>
        <v>En proceso</v>
      </c>
      <c r="J24" s="148">
        <f t="shared" si="2"/>
        <v>0.5</v>
      </c>
      <c r="K24" s="149">
        <f t="shared" si="1"/>
        <v>0.5</v>
      </c>
    </row>
    <row r="25" spans="1:11" ht="15" customHeight="1">
      <c r="A25" s="147" t="s">
        <v>169</v>
      </c>
      <c r="B25" s="147" t="s">
        <v>79</v>
      </c>
      <c r="C25" s="147" t="s">
        <v>88</v>
      </c>
      <c r="D25" s="147" t="s">
        <v>37</v>
      </c>
      <c r="E25" s="147" t="s">
        <v>82</v>
      </c>
      <c r="F25" s="147" t="str">
        <f>+VLOOKUP(A25,'Estado SCI'!$A$16:$I$59,9,0)</f>
        <v>Oportunidad de mejora</v>
      </c>
      <c r="G25" s="147">
        <f>+VLOOKUP(A25,'Estado SCI'!$A$16:$L$59,12,0)</f>
        <v>50.323</v>
      </c>
      <c r="H25" s="147">
        <f t="shared" si="0"/>
        <v>25</v>
      </c>
      <c r="I25" s="147" t="str">
        <f>+IF(VLOOKUP(A25,'Estado SCI'!$A$16:$G$59,7,0)="","",VLOOKUP(A25,'Estado SCI'!$A$16:$G$59,7,0))</f>
        <v>En proceso</v>
      </c>
      <c r="J25" s="148">
        <f t="shared" si="2"/>
        <v>0.5</v>
      </c>
      <c r="K25" s="149">
        <f t="shared" si="1"/>
        <v>0.5</v>
      </c>
    </row>
    <row r="26" spans="1:11" ht="15" customHeight="1">
      <c r="A26" s="147" t="s">
        <v>170</v>
      </c>
      <c r="B26" s="147" t="s">
        <v>79</v>
      </c>
      <c r="C26" s="147" t="s">
        <v>88</v>
      </c>
      <c r="D26" s="147" t="s">
        <v>40</v>
      </c>
      <c r="E26" s="147" t="s">
        <v>83</v>
      </c>
      <c r="F26" s="147" t="str">
        <f>+VLOOKUP(A26,'Estado SCI'!$A$16:$I$59,9,0)</f>
        <v>Oportunidad de mejora</v>
      </c>
      <c r="G26" s="147">
        <f>+VLOOKUP(A26,'Estado SCI'!$A$16:$L$59,12,0)</f>
        <v>50.323999999999998</v>
      </c>
      <c r="H26" s="147">
        <f t="shared" si="0"/>
        <v>26</v>
      </c>
      <c r="I26" s="147" t="str">
        <f>+IF(VLOOKUP(A26,'Estado SCI'!$A$16:$G$59,7,0)="","",VLOOKUP(A26,'Estado SCI'!$A$16:$G$59,7,0))</f>
        <v>En proceso</v>
      </c>
      <c r="J26" s="148">
        <f t="shared" si="2"/>
        <v>0.5</v>
      </c>
      <c r="K26" s="149">
        <f t="shared" si="1"/>
        <v>0.5</v>
      </c>
    </row>
    <row r="27" spans="1:11" ht="15.75" customHeight="1">
      <c r="A27" s="147" t="s">
        <v>171</v>
      </c>
      <c r="B27" s="147" t="s">
        <v>79</v>
      </c>
      <c r="C27" s="147" t="s">
        <v>88</v>
      </c>
      <c r="D27" s="147" t="s">
        <v>42</v>
      </c>
      <c r="E27" s="147" t="s">
        <v>84</v>
      </c>
      <c r="F27" s="147" t="str">
        <f>+VLOOKUP(A27,'Estado SCI'!$A$16:$I$59,9,0)</f>
        <v>Deficiencia de control</v>
      </c>
      <c r="G27" s="147">
        <f>+VLOOKUP(A27,'Estado SCI'!$A$16:$L$59,12,0)</f>
        <v>40.325000000000003</v>
      </c>
      <c r="H27" s="147">
        <f t="shared" si="0"/>
        <v>23</v>
      </c>
      <c r="I27" s="147" t="str">
        <f>+IF(VLOOKUP(A27,'Estado SCI'!$A$16:$G$59,7,0)="","",VLOOKUP(A27,'Estado SCI'!$A$16:$G$59,7,0))</f>
        <v>No</v>
      </c>
      <c r="J27" s="148">
        <f t="shared" si="2"/>
        <v>0</v>
      </c>
      <c r="K27" s="149">
        <f t="shared" si="1"/>
        <v>0.5</v>
      </c>
    </row>
    <row r="28" spans="1:11" ht="15" customHeight="1">
      <c r="A28" s="147" t="s">
        <v>172</v>
      </c>
      <c r="B28" s="147" t="s">
        <v>79</v>
      </c>
      <c r="C28" s="147" t="s">
        <v>98</v>
      </c>
      <c r="D28" s="147" t="s">
        <v>44</v>
      </c>
      <c r="E28" s="147" t="s">
        <v>85</v>
      </c>
      <c r="F28" s="147" t="str">
        <f>+VLOOKUP(A28,'Estado SCI'!$A$16:$I$59,9,0)</f>
        <v>Mantenimiento del control</v>
      </c>
      <c r="G28" s="147">
        <f>+VLOOKUP(A28,'Estado SCI'!$A$16:$L$59,12,0)</f>
        <v>60.326000000000001</v>
      </c>
      <c r="H28" s="147">
        <f t="shared" si="0"/>
        <v>27</v>
      </c>
      <c r="I28" s="147" t="str">
        <f>+IF(VLOOKUP(A28,'Estado SCI'!$A$16:$G$59,7,0)="","",VLOOKUP(A28,'Estado SCI'!$A$16:$G$59,7,0))</f>
        <v>Si</v>
      </c>
      <c r="J28" s="148">
        <f t="shared" si="2"/>
        <v>1</v>
      </c>
      <c r="K28" s="149">
        <f t="shared" si="1"/>
        <v>0.5</v>
      </c>
    </row>
    <row r="29" spans="1:11" ht="15" customHeight="1">
      <c r="A29" s="147" t="s">
        <v>173</v>
      </c>
      <c r="B29" s="147" t="str">
        <f>+VLOOKUP(A29,'Estado SCI'!$A$16:$C$59,3,0)</f>
        <v>INFORMACION Y COMUNICACIÓN</v>
      </c>
      <c r="C29" s="147" t="s">
        <v>98</v>
      </c>
      <c r="D29" s="147" t="s">
        <v>34</v>
      </c>
      <c r="E29" s="147" t="s">
        <v>89</v>
      </c>
      <c r="F29" s="147" t="str">
        <f>+VLOOKUP(A29,'Estado SCI'!$A$16:$I$59,9,0)</f>
        <v>Deficiencia de control</v>
      </c>
      <c r="G29" s="147">
        <f>+VLOOKUP(A29,'Estado SCI'!$A$16:$L$59,12,0)</f>
        <v>60.411999999999999</v>
      </c>
      <c r="H29" s="147">
        <f t="shared" si="0"/>
        <v>28</v>
      </c>
      <c r="I29" s="147" t="str">
        <f>+IF(VLOOKUP(A29,'Estado SCI'!$A$16:$G$59,7,0)="","",VLOOKUP(A29,'Estado SCI'!$A$16:$G$59,7,0))</f>
        <v>No</v>
      </c>
      <c r="J29" s="148">
        <f t="shared" si="2"/>
        <v>0</v>
      </c>
      <c r="K29" s="149">
        <f t="shared" si="1"/>
        <v>0.6428571428571429</v>
      </c>
    </row>
    <row r="30" spans="1:11" ht="15" customHeight="1">
      <c r="A30" s="147" t="s">
        <v>174</v>
      </c>
      <c r="B30" s="147" t="s">
        <v>87</v>
      </c>
      <c r="C30" s="147" t="s">
        <v>98</v>
      </c>
      <c r="D30" s="147" t="s">
        <v>37</v>
      </c>
      <c r="E30" s="147" t="s">
        <v>90</v>
      </c>
      <c r="F30" s="147" t="str">
        <f>+VLOOKUP(A30,'Estado SCI'!$A$16:$I$59,9,0)</f>
        <v>Mantenimiento del control</v>
      </c>
      <c r="G30" s="147">
        <f>+VLOOKUP(A30,'Estado SCI'!$A$16:$L$59,12,0)</f>
        <v>80.412300000000002</v>
      </c>
      <c r="H30" s="147">
        <f t="shared" si="0"/>
        <v>31</v>
      </c>
      <c r="I30" s="147" t="str">
        <f>+IF(VLOOKUP(A30,'Estado SCI'!$A$16:$G$59,7,0)="","",VLOOKUP(A30,'Estado SCI'!$A$16:$G$59,7,0))</f>
        <v>Si</v>
      </c>
      <c r="J30" s="148">
        <f t="shared" si="2"/>
        <v>1</v>
      </c>
      <c r="K30" s="149">
        <f t="shared" si="1"/>
        <v>0.6428571428571429</v>
      </c>
    </row>
    <row r="31" spans="1:11" ht="15.75" customHeight="1">
      <c r="A31" s="147" t="s">
        <v>175</v>
      </c>
      <c r="B31" s="147" t="s">
        <v>87</v>
      </c>
      <c r="C31" s="147" t="s">
        <v>98</v>
      </c>
      <c r="D31" s="147" t="s">
        <v>40</v>
      </c>
      <c r="E31" s="147" t="s">
        <v>91</v>
      </c>
      <c r="F31" s="147" t="str">
        <f>+VLOOKUP(A31,'Estado SCI'!$A$16:$I$59,9,0)</f>
        <v>Mantenimiento del control</v>
      </c>
      <c r="G31" s="147">
        <f>+VLOOKUP(A31,'Estado SCI'!$A$16:$L$59,12,0)</f>
        <v>80.41234</v>
      </c>
      <c r="H31" s="147">
        <f t="shared" si="0"/>
        <v>32</v>
      </c>
      <c r="I31" s="147" t="str">
        <f>+IF(VLOOKUP(A31,'Estado SCI'!$A$16:$G$59,7,0)="","",VLOOKUP(A31,'Estado SCI'!$A$16:$G$59,7,0))</f>
        <v>Si</v>
      </c>
      <c r="J31" s="148">
        <f t="shared" si="2"/>
        <v>1</v>
      </c>
      <c r="K31" s="149">
        <f t="shared" si="1"/>
        <v>0.6428571428571429</v>
      </c>
    </row>
    <row r="32" spans="1:11">
      <c r="A32" s="147" t="s">
        <v>176</v>
      </c>
      <c r="B32" s="147" t="s">
        <v>87</v>
      </c>
      <c r="C32" s="147" t="s">
        <v>104</v>
      </c>
      <c r="D32" s="147" t="s">
        <v>42</v>
      </c>
      <c r="E32" s="147" t="s">
        <v>92</v>
      </c>
      <c r="F32" s="147" t="str">
        <f>+VLOOKUP(A32,'Estado SCI'!$A$16:$I$59,9,0)</f>
        <v>Mantenimiento del control</v>
      </c>
      <c r="G32" s="147">
        <f>+VLOOKUP(A32,'Estado SCI'!$A$16:$L$59,12,0)</f>
        <v>80.412345000000002</v>
      </c>
      <c r="H32" s="147">
        <f t="shared" si="0"/>
        <v>33</v>
      </c>
      <c r="I32" s="147" t="str">
        <f>+IF(VLOOKUP(A32,'Estado SCI'!$A$16:$G$59,7,0)="","",VLOOKUP(A32,'Estado SCI'!$A$16:$G$59,7,0))</f>
        <v>Si</v>
      </c>
      <c r="J32" s="148">
        <f t="shared" si="2"/>
        <v>1</v>
      </c>
      <c r="K32" s="149">
        <f t="shared" si="1"/>
        <v>0.6428571428571429</v>
      </c>
    </row>
    <row r="33" spans="1:11">
      <c r="A33" s="147" t="s">
        <v>177</v>
      </c>
      <c r="B33" s="147" t="s">
        <v>87</v>
      </c>
      <c r="C33" s="147" t="s">
        <v>178</v>
      </c>
      <c r="D33" s="147" t="s">
        <v>44</v>
      </c>
      <c r="E33" s="147" t="s">
        <v>93</v>
      </c>
      <c r="F33" s="147" t="str">
        <f>+VLOOKUP(A33,'Estado SCI'!$A$16:$I$59,9,0)</f>
        <v>Oportunidad de mejora</v>
      </c>
      <c r="G33" s="147">
        <f>+VLOOKUP(A33,'Estado SCI'!$A$16:$L$59,12,0)</f>
        <v>70.412345599999995</v>
      </c>
      <c r="H33" s="147">
        <f t="shared" si="0"/>
        <v>30</v>
      </c>
      <c r="I33" s="147" t="str">
        <f>+IF(VLOOKUP(A33,'Estado SCI'!$A$16:$G$59,7,0)="","",VLOOKUP(A33,'Estado SCI'!$A$16:$G$59,7,0))</f>
        <v>En proceso</v>
      </c>
      <c r="J33" s="148">
        <f t="shared" si="2"/>
        <v>0.5</v>
      </c>
      <c r="K33" s="149">
        <f t="shared" si="1"/>
        <v>0.6428571428571429</v>
      </c>
    </row>
    <row r="34" spans="1:11">
      <c r="A34" s="147" t="s">
        <v>179</v>
      </c>
      <c r="B34" s="147" t="s">
        <v>87</v>
      </c>
      <c r="C34" s="147" t="s">
        <v>178</v>
      </c>
      <c r="D34" s="147" t="s">
        <v>46</v>
      </c>
      <c r="E34" s="147" t="s">
        <v>94</v>
      </c>
      <c r="F34" s="147" t="str">
        <f>+VLOOKUP(A34,'Estado SCI'!$A$16:$I$59,9,0)</f>
        <v>Deficiencia de control</v>
      </c>
      <c r="G34" s="147">
        <f>+VLOOKUP(A34,'Estado SCI'!$A$16:$L$59,12,0)</f>
        <v>60.412345670000001</v>
      </c>
      <c r="H34" s="147">
        <f t="shared" si="0"/>
        <v>29</v>
      </c>
      <c r="I34" s="147" t="str">
        <f>+IF(VLOOKUP(A34,'Estado SCI'!$A$16:$G$59,7,0)="","",VLOOKUP(A34,'Estado SCI'!$A$16:$G$59,7,0))</f>
        <v>No</v>
      </c>
      <c r="J34" s="148">
        <f t="shared" si="2"/>
        <v>0</v>
      </c>
      <c r="K34" s="149">
        <f t="shared" si="1"/>
        <v>0.6428571428571429</v>
      </c>
    </row>
    <row r="35" spans="1:11">
      <c r="A35" s="147" t="s">
        <v>180</v>
      </c>
      <c r="B35" s="147" t="s">
        <v>87</v>
      </c>
      <c r="C35" s="147" t="s">
        <v>178</v>
      </c>
      <c r="D35" s="147" t="s">
        <v>48</v>
      </c>
      <c r="E35" s="147" t="s">
        <v>95</v>
      </c>
      <c r="F35" s="147" t="str">
        <f>+VLOOKUP(A35,'Estado SCI'!$A$16:$I$59,9,0)</f>
        <v>Mantenimiento del control</v>
      </c>
      <c r="G35" s="147">
        <f>+VLOOKUP(A35,'Estado SCI'!$A$16:$L$59,12,0)</f>
        <v>80.412345677999994</v>
      </c>
      <c r="H35" s="147">
        <f t="shared" si="0"/>
        <v>34</v>
      </c>
      <c r="I35" s="147" t="str">
        <f>+IF(VLOOKUP(A35,'Estado SCI'!$A$16:$G$59,7,0)="","",VLOOKUP(A35,'Estado SCI'!$A$16:$G$59,7,0))</f>
        <v>Si</v>
      </c>
      <c r="J35" s="148">
        <f t="shared" si="2"/>
        <v>1</v>
      </c>
      <c r="K35" s="149">
        <f t="shared" si="1"/>
        <v>0.6428571428571429</v>
      </c>
    </row>
    <row r="36" spans="1:11">
      <c r="A36" s="147" t="s">
        <v>181</v>
      </c>
      <c r="B36" s="147" t="str">
        <f>+VLOOKUP(A36,'Estado SCI'!$A$16:$C$59,3,0)</f>
        <v>ACTIVIDADES DE MONITOREO</v>
      </c>
      <c r="C36" s="147" t="s">
        <v>178</v>
      </c>
      <c r="D36" s="147" t="s">
        <v>34</v>
      </c>
      <c r="E36" s="147" t="s">
        <v>99</v>
      </c>
      <c r="F36" s="147" t="str">
        <f>+VLOOKUP(A36,'Estado SCI'!$A$16:$I$59,9,0)</f>
        <v>Deficiencia de control</v>
      </c>
      <c r="G36" s="147">
        <f>+VLOOKUP(A36,'Estado SCI'!$A$16:$L$59,12,0)</f>
        <v>80.850999999999999</v>
      </c>
      <c r="H36" s="147">
        <f t="shared" si="0"/>
        <v>35</v>
      </c>
      <c r="I36" s="147" t="str">
        <f>+IF(VLOOKUP(A36,'Estado SCI'!$A$16:$G$59,7,0)="","",VLOOKUP(A36,'Estado SCI'!$A$16:$G$59,7,0))</f>
        <v>No</v>
      </c>
      <c r="J36" s="148">
        <f t="shared" si="2"/>
        <v>0</v>
      </c>
      <c r="K36" s="149">
        <f t="shared" si="1"/>
        <v>0.45</v>
      </c>
    </row>
    <row r="37" spans="1:11">
      <c r="A37" s="147" t="s">
        <v>182</v>
      </c>
      <c r="B37" s="147" t="s">
        <v>97</v>
      </c>
      <c r="C37" s="147" t="s">
        <v>178</v>
      </c>
      <c r="D37" s="147" t="s">
        <v>42</v>
      </c>
      <c r="E37" s="147" t="s">
        <v>100</v>
      </c>
      <c r="F37" s="147" t="str">
        <f>+VLOOKUP(A37,'Estado SCI'!$A$16:$I$59,9,0)</f>
        <v>Oportunidad de mejora</v>
      </c>
      <c r="G37" s="147">
        <f>+VLOOKUP(A37,'Estado SCI'!$A$16:$L$59,12,0)</f>
        <v>100.85120000000001</v>
      </c>
      <c r="H37" s="147">
        <f t="shared" si="0"/>
        <v>38</v>
      </c>
      <c r="I37" s="147" t="str">
        <f>+IF(VLOOKUP(A37,'Estado SCI'!$A$16:$G$59,7,0)="","",VLOOKUP(A37,'Estado SCI'!$A$16:$G$59,7,0))</f>
        <v>En proceso</v>
      </c>
      <c r="J37" s="148">
        <f t="shared" si="2"/>
        <v>0.5</v>
      </c>
      <c r="K37" s="149">
        <f t="shared" si="1"/>
        <v>0.45</v>
      </c>
    </row>
    <row r="38" spans="1:11">
      <c r="A38" s="147" t="s">
        <v>183</v>
      </c>
      <c r="B38" s="147" t="s">
        <v>97</v>
      </c>
      <c r="C38" s="147" t="s">
        <v>68</v>
      </c>
      <c r="D38" s="147" t="s">
        <v>46</v>
      </c>
      <c r="E38" s="147" t="s">
        <v>101</v>
      </c>
      <c r="F38" s="147" t="str">
        <f>+VLOOKUP(A38,'Estado SCI'!$A$16:$I$59,9,0)</f>
        <v>Mantenimiento del control</v>
      </c>
      <c r="G38" s="147">
        <f>+VLOOKUP(A38,'Estado SCI'!$A$16:$L$59,12,0)</f>
        <v>120.85123</v>
      </c>
      <c r="H38" s="147">
        <f t="shared" si="0"/>
        <v>43</v>
      </c>
      <c r="I38" s="147" t="str">
        <f>+IF(VLOOKUP(A38,'Estado SCI'!$A$16:$G$59,7,0)="","",VLOOKUP(A38,'Estado SCI'!$A$16:$G$59,7,0))</f>
        <v>Si</v>
      </c>
      <c r="J38" s="148">
        <f t="shared" si="2"/>
        <v>1</v>
      </c>
      <c r="K38" s="149">
        <f t="shared" si="1"/>
        <v>0.45</v>
      </c>
    </row>
    <row r="39" spans="1:11">
      <c r="A39" s="147" t="s">
        <v>184</v>
      </c>
      <c r="B39" s="147" t="s">
        <v>97</v>
      </c>
      <c r="C39" s="147" t="s">
        <v>68</v>
      </c>
      <c r="D39" s="147" t="s">
        <v>48</v>
      </c>
      <c r="E39" s="147" t="s">
        <v>102</v>
      </c>
      <c r="F39" s="147" t="str">
        <f>+VLOOKUP(A39,'Estado SCI'!$A$16:$I$59,9,0)</f>
        <v>Deficiencia de control</v>
      </c>
      <c r="G39" s="147">
        <f>+VLOOKUP(A39,'Estado SCI'!$A$16:$L$59,12,0)</f>
        <v>80.851234000000005</v>
      </c>
      <c r="H39" s="147">
        <f t="shared" si="0"/>
        <v>36</v>
      </c>
      <c r="I39" s="147" t="str">
        <f>+IF(VLOOKUP(A39,'Estado SCI'!$A$16:$G$59,7,0)="","",VLOOKUP(A39,'Estado SCI'!$A$16:$G$59,7,0))</f>
        <v>No</v>
      </c>
      <c r="J39" s="148">
        <f t="shared" si="2"/>
        <v>0</v>
      </c>
      <c r="K39" s="149">
        <f t="shared" si="1"/>
        <v>0.45</v>
      </c>
    </row>
    <row r="40" spans="1:11">
      <c r="A40" s="147" t="s">
        <v>185</v>
      </c>
      <c r="B40" s="147" t="s">
        <v>97</v>
      </c>
      <c r="C40" s="147" t="s">
        <v>68</v>
      </c>
      <c r="D40" s="147" t="s">
        <v>50</v>
      </c>
      <c r="E40" s="147" t="s">
        <v>105</v>
      </c>
      <c r="F40" s="147" t="str">
        <f>+VLOOKUP(A40,'Estado SCI'!$A$16:$I$59,9,0)</f>
        <v>Mantenimiento del control</v>
      </c>
      <c r="G40" s="147">
        <f>+VLOOKUP(A40,'Estado SCI'!$A$16:$L$59,12,0)</f>
        <v>120.8512345</v>
      </c>
      <c r="H40" s="147">
        <f t="shared" si="0"/>
        <v>44</v>
      </c>
      <c r="I40" s="147" t="str">
        <f>+IF(VLOOKUP(A40,'Estado SCI'!$A$16:$G$59,7,0)="","",VLOOKUP(A40,'Estado SCI'!$A$16:$G$59,7,0))</f>
        <v>Si</v>
      </c>
      <c r="J40" s="148">
        <f t="shared" si="2"/>
        <v>1</v>
      </c>
      <c r="K40" s="149">
        <f t="shared" si="1"/>
        <v>0.45</v>
      </c>
    </row>
    <row r="41" spans="1:11">
      <c r="A41" s="147" t="s">
        <v>186</v>
      </c>
      <c r="B41" s="147" t="s">
        <v>97</v>
      </c>
      <c r="C41" s="147" t="s">
        <v>68</v>
      </c>
      <c r="D41" s="147" t="s">
        <v>34</v>
      </c>
      <c r="E41" s="147" t="s">
        <v>108</v>
      </c>
      <c r="F41" s="147" t="str">
        <f>+VLOOKUP(A41,'Estado SCI'!$A$16:$I$59,9,0)</f>
        <v>Deficiencia de control</v>
      </c>
      <c r="G41" s="147">
        <f>+VLOOKUP(A41,'Estado SCI'!$A$16:$L$59,12,0)</f>
        <v>80.851234559999995</v>
      </c>
      <c r="H41" s="147">
        <f t="shared" si="0"/>
        <v>37</v>
      </c>
      <c r="I41" s="147" t="str">
        <f>+IF(VLOOKUP(A41,'Estado SCI'!$A$16:$G$59,7,0)="","",VLOOKUP(A41,'Estado SCI'!$A$16:$G$59,7,0))</f>
        <v>No</v>
      </c>
      <c r="J41" s="148">
        <f t="shared" si="2"/>
        <v>0</v>
      </c>
      <c r="K41" s="149">
        <f t="shared" si="1"/>
        <v>0.45</v>
      </c>
    </row>
    <row r="42" spans="1:11">
      <c r="A42" s="147" t="s">
        <v>187</v>
      </c>
      <c r="B42" s="147" t="s">
        <v>97</v>
      </c>
      <c r="C42" s="147" t="s">
        <v>73</v>
      </c>
      <c r="D42" s="147" t="s">
        <v>37</v>
      </c>
      <c r="E42" s="147" t="s">
        <v>109</v>
      </c>
      <c r="F42" s="147" t="str">
        <f>+VLOOKUP(A42,'Estado SCI'!$A$16:$I$59,9,0)</f>
        <v>Oportunidad de mejora</v>
      </c>
      <c r="G42" s="147">
        <f>+VLOOKUP(A42,'Estado SCI'!$A$16:$L$59,12,0)</f>
        <v>100.85123456700001</v>
      </c>
      <c r="H42" s="147">
        <f t="shared" si="0"/>
        <v>39</v>
      </c>
      <c r="I42" s="147" t="str">
        <f>+IF(VLOOKUP(A42,'Estado SCI'!$A$16:$G$59,7,0)="","",VLOOKUP(A42,'Estado SCI'!$A$16:$G$59,7,0))</f>
        <v>En proceso</v>
      </c>
      <c r="J42" s="148">
        <f t="shared" si="2"/>
        <v>0.5</v>
      </c>
      <c r="K42" s="149">
        <f t="shared" si="1"/>
        <v>0.45</v>
      </c>
    </row>
    <row r="43" spans="1:11">
      <c r="A43" s="147" t="s">
        <v>188</v>
      </c>
      <c r="B43" s="147" t="s">
        <v>97</v>
      </c>
      <c r="C43" s="147" t="s">
        <v>73</v>
      </c>
      <c r="D43" s="147" t="s">
        <v>40</v>
      </c>
      <c r="E43" s="147" t="s">
        <v>110</v>
      </c>
      <c r="F43" s="147" t="str">
        <f>+VLOOKUP(A43,'Estado SCI'!$A$16:$I$59,9,0)</f>
        <v>Oportunidad de mejora</v>
      </c>
      <c r="G43" s="147">
        <f>+VLOOKUP(A43,'Estado SCI'!$A$16:$L$59,12,0)</f>
        <v>100.85123456780001</v>
      </c>
      <c r="H43" s="147">
        <f t="shared" si="0"/>
        <v>40</v>
      </c>
      <c r="I43" s="147" t="str">
        <f>+IF(VLOOKUP(A43,'Estado SCI'!$A$16:$G$59,7,0)="","",VLOOKUP(A43,'Estado SCI'!$A$16:$G$59,7,0))</f>
        <v>En proceso</v>
      </c>
      <c r="J43" s="148">
        <f t="shared" si="2"/>
        <v>0.5</v>
      </c>
      <c r="K43" s="149">
        <f t="shared" si="1"/>
        <v>0.45</v>
      </c>
    </row>
    <row r="44" spans="1:11">
      <c r="A44" s="147" t="s">
        <v>189</v>
      </c>
      <c r="B44" s="147" t="s">
        <v>97</v>
      </c>
      <c r="C44" s="147" t="s">
        <v>73</v>
      </c>
      <c r="D44" s="147" t="s">
        <v>42</v>
      </c>
      <c r="E44" s="147" t="s">
        <v>111</v>
      </c>
      <c r="F44" s="147" t="str">
        <f>+VLOOKUP(A44,'Estado SCI'!$A$16:$I$59,9,0)</f>
        <v>Oportunidad de mejora</v>
      </c>
      <c r="G44" s="147">
        <f>+VLOOKUP(A44,'Estado SCI'!$A$16:$L$59,12,0)</f>
        <v>100.85123456789</v>
      </c>
      <c r="H44" s="147">
        <f t="shared" si="0"/>
        <v>41</v>
      </c>
      <c r="I44" s="147" t="str">
        <f>+IF(VLOOKUP(A44,'Estado SCI'!$A$16:$G$59,7,0)="","",VLOOKUP(A44,'Estado SCI'!$A$16:$G$59,7,0))</f>
        <v>En proceso</v>
      </c>
      <c r="J44" s="148">
        <f t="shared" si="2"/>
        <v>0.5</v>
      </c>
      <c r="K44" s="149">
        <f t="shared" si="1"/>
        <v>0.45</v>
      </c>
    </row>
    <row r="45" spans="1:11">
      <c r="A45" s="147" t="s">
        <v>190</v>
      </c>
      <c r="B45" s="147" t="s">
        <v>97</v>
      </c>
      <c r="C45" s="147" t="s">
        <v>73</v>
      </c>
      <c r="D45" s="147" t="s">
        <v>44</v>
      </c>
      <c r="E45" s="147" t="s">
        <v>112</v>
      </c>
      <c r="F45" s="147" t="str">
        <f>+VLOOKUP(A45,'Estado SCI'!$A$16:$I$59,9,0)</f>
        <v>Oportunidad de mejora</v>
      </c>
      <c r="G45" s="147">
        <f>+VLOOKUP(A45,'Estado SCI'!$A$16:$L$59,12,0)</f>
        <v>100.851234567891</v>
      </c>
      <c r="H45" s="147">
        <f t="shared" si="0"/>
        <v>42</v>
      </c>
      <c r="I45" s="147" t="str">
        <f>+IF(VLOOKUP(A45,'Estado SCI'!$A$16:$G$59,7,0)="","",VLOOKUP(A45,'Estado SCI'!$A$16:$G$59,7,0))</f>
        <v>En proceso</v>
      </c>
      <c r="J45" s="148">
        <f t="shared" si="2"/>
        <v>0.5</v>
      </c>
      <c r="K45" s="149">
        <f t="shared" si="1"/>
        <v>0.45</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JOSE DANIEL RAMIREZ SALDANA</cp:lastModifiedBy>
  <cp:revision/>
  <dcterms:created xsi:type="dcterms:W3CDTF">2020-04-28T13:58:09Z</dcterms:created>
  <dcterms:modified xsi:type="dcterms:W3CDTF">2024-07-17T20:02:12Z</dcterms:modified>
  <cp:category/>
  <cp:contentStatus/>
</cp:coreProperties>
</file>